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<sst xmlns="http://schemas.openxmlformats.org/spreadsheetml/2006/main" count="282" uniqueCount="191">
  <si>
    <t>Смета расходов. Список работ</t>
  </si>
  <si>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</si>
  <si>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</si>
  <si>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</si>
  <si>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</si>
  <si>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</si>
  <si>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</si>
  <si>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</si>
  <si>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</si>
  <si>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</si>
  <si>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</si>
  <si>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</si>
  <si>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Стоимость, руб.</t>
  </si>
  <si>
    <t>Отчет 3-15 за 2014</t>
  </si>
  <si>
    <t>Прочистка внутридомовых и наружных  дренажей</t>
  </si>
  <si>
    <t>1 пролет</t>
  </si>
  <si>
    <t>Восстановление (ремонт) отмостки</t>
  </si>
  <si>
    <t>100 м2 отмостки</t>
  </si>
  <si>
    <t>Ремонт продухов вентиляции</t>
  </si>
  <si>
    <t>100 м2 отремонтированной поверхности</t>
  </si>
  <si>
    <t>Восстановление разрушенной тепловой изоляции минераловатными матами</t>
  </si>
  <si>
    <t>100 м2 восстановленного участка</t>
  </si>
  <si>
    <t>Смена отдельных участков трубопроводов водоснабжения из стальных водогазопроводных оцинкованных труб диаметром  25 мм</t>
  </si>
  <si>
    <t>100 м трубопроводов</t>
  </si>
  <si>
    <t>Смена отдельных участков трубопроводов водоснабжения из стальных водогазопроводных оцинкованных труб диаметром 80 мм</t>
  </si>
  <si>
    <t>Смена вентилей и клапанов обратных муфтовых диаметром до 20 мм</t>
  </si>
  <si>
    <t>100 шт.</t>
  </si>
  <si>
    <t>Смена вентилей и клапанов обратных муфтовых диаметром до 32  мм</t>
  </si>
  <si>
    <t>Смена вентилей и клапанов обратных муфтовых диаметром до 50  мм</t>
  </si>
  <si>
    <t>Смена горизонтальных участков трубопроводов канализации из полиэтиленовых труб высокой плотности диаметром 100 мм</t>
  </si>
  <si>
    <t>Смена вертикальных участков трубопроводов канализации из полиэтиленовых труб высокой плотности диаметром 100 мм</t>
  </si>
  <si>
    <t>Замена светильника с лампами накаливания или энергосберегающими лампами</t>
  </si>
  <si>
    <t>1 светильник</t>
  </si>
  <si>
    <t>Смена стекол на двойной замазке при размере фальцев 15х15 мм</t>
  </si>
  <si>
    <t>100 м фальца</t>
  </si>
  <si>
    <t>Осмотр территории вокруг здания и фундамента</t>
  </si>
  <si>
    <t>1000 кв.м. общей площади</t>
  </si>
  <si>
    <t>Осмотр внутренней отделки стен</t>
  </si>
  <si>
    <t>Устранение аварии на внутридомовых инженерных сетях при сроке эксплуатации многоквартирного дома до 10 лет</t>
  </si>
  <si>
    <t>1000 м2  общей площади жилых помещений, не оборудованных газовыми плитами</t>
  </si>
  <si>
    <t>Подметание лестничных площадок и маршей нижних трех этажей с предварительным их увлажнением (в доме без лифтов и мусоропровода)</t>
  </si>
  <si>
    <t xml:space="preserve">100 м2  мест общего пользования  </t>
  </si>
  <si>
    <t>Подметание лестничных площадок и маршей выше третьего этажа с предварительным их увлажнением (в доме без лифтов и мусоропровода)</t>
  </si>
  <si>
    <t>Мытье  лестничных площадок и маршей  выше третьего этажа (в доме без лифтов и мусоропровода)</t>
  </si>
  <si>
    <t>Протирка пыли  с колпаков  светильников (в подвалах, на чердаках и лестничных клетках)</t>
  </si>
  <si>
    <t>Протирка пыли  с подоконников в помещениях общего  пользования</t>
  </si>
  <si>
    <t xml:space="preserve">100 м2 подоконников </t>
  </si>
  <si>
    <t>Подметание  чердаков и подвалов без предварительного увлажнения</t>
  </si>
  <si>
    <t>100 м2 чердаков и подвалов</t>
  </si>
  <si>
    <t>Влажная протирка почтовых ящиков (с моющим средством)</t>
  </si>
  <si>
    <t>100 кв.м почтовых ящиков</t>
  </si>
  <si>
    <t>Влажная протирка оконных решеток  (с моющим средством)</t>
  </si>
  <si>
    <t>100 кв.м решеток</t>
  </si>
  <si>
    <t>Влажная протирка перил лестниц (с моющим средством)</t>
  </si>
  <si>
    <t>100 кв.м. перил лестниц</t>
  </si>
  <si>
    <t>Влажная протирка стен (с мылом)</t>
  </si>
  <si>
    <t>100 кв. м стен</t>
  </si>
  <si>
    <t>Влажная протирка отопительных приборов (моющим средством)</t>
  </si>
  <si>
    <t>100 кв. м отопительных приборов</t>
  </si>
  <si>
    <t>Подметание в летний период  земельного участка с усовершенствованным покрытием 3 класса</t>
  </si>
  <si>
    <t>1 000 кв.м. территории</t>
  </si>
  <si>
    <t>Сдвижка и подметание снега при отсутствии снегопада на придомовой территории с усовершенствованным покрытием 3 класса</t>
  </si>
  <si>
    <t>10 000 кв.м. территории</t>
  </si>
  <si>
    <t>Сдвижка и подметание снега при снегопаде на придомовой территории с усовершенствованным покрытием 3 класса</t>
  </si>
  <si>
    <t>Посыпка территории III класса</t>
  </si>
  <si>
    <t>100 кв. м</t>
  </si>
  <si>
    <t>Очистка кровли от снега, сбивание сосулек</t>
  </si>
  <si>
    <t>100 кв.м. кровли</t>
  </si>
  <si>
    <t>Механизированная погрузка твердых бытовых отходов в кузовные мусоровозы и разгрузка мусоровозов на полигоне ТБО</t>
  </si>
  <si>
    <t>100 куб.м.</t>
  </si>
  <si>
    <t>Транспортировка ТБО на мусоровозе 20-24 куб. м (коэффициент уплотнения 2-2,5)</t>
  </si>
  <si>
    <t>100 куб.м/км.</t>
  </si>
  <si>
    <t>Погрузка-разгрузка бункеровоза</t>
  </si>
  <si>
    <t>100 куб. м</t>
  </si>
  <si>
    <t>Транспортировка КГМ на бункеровозе</t>
  </si>
  <si>
    <t>100 куб.м/км</t>
  </si>
  <si>
    <t>Дератизация чердаков и подвалов с применением готовой приманки</t>
  </si>
  <si>
    <t>1000 м2  обрабатываемых  помещений</t>
  </si>
  <si>
    <t>Дезинсекция  подвалов</t>
  </si>
  <si>
    <t>ИТОГО: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</si>
  <si>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</si>
  <si>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</si>
  <si>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</si>
  <si>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</si>
  <si>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</si>
  <si>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</si>
  <si>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Управленческие расходы,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</si>
  <si>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</si>
  <si>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</si>
  <si>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</si>
  <si>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</si>
  <si>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</si>
  <si>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</si>
  <si>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Асфальтобетонщик  1 разряда</t>
  </si>
  <si>
    <t>чел.-час</t>
  </si>
  <si>
    <t>Асфальтобетонщик  2 разряда</t>
  </si>
  <si>
    <t>Асфальтобетонщик  3 разряда</t>
  </si>
  <si>
    <t>Асфальтобетонщик  4 разряда</t>
  </si>
  <si>
    <t>Водитель автомобиля 4 разряда</t>
  </si>
  <si>
    <t>Грузчик 1 разряда</t>
  </si>
  <si>
    <t>Дворник 1 разряда</t>
  </si>
  <si>
    <t>Дезинфектор 3 разряда</t>
  </si>
  <si>
    <t>Изолировщик на термоизоляции 2 разряда</t>
  </si>
  <si>
    <t>Изолировщик на термоизоляции 3 разряда</t>
  </si>
  <si>
    <t>Каменщик 3 разряда</t>
  </si>
  <si>
    <t>Подсобный рабочий 1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</si>
  <si>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</si>
  <si>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2.5 разряда</t>
  </si>
  <si>
    <t>чел/час</t>
  </si>
  <si>
    <t>Рабочий по комплексному обслуживанию и ремонту зданий 4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</si>
  <si>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</si>
  <si>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</si>
  <si>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</si>
  <si>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</si>
  <si>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Стекольщик 2 разряда</t>
  </si>
  <si>
    <t>Стекольщик 3 разряда</t>
  </si>
  <si>
    <t>Штукатур 2 разряда</t>
  </si>
  <si>
    <t>Штукатур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</si>
  <si>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</si>
  <si>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</si>
  <si>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</si>
  <si>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</si>
  <si>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Материальные ресурсы</t>
  </si>
  <si>
    <t xml:space="preserve">Алебастр </t>
  </si>
  <si>
    <t>кг</t>
  </si>
  <si>
    <t>Арматура муфтовая оцинкованная к трубопроводам диаметром 25 мм</t>
  </si>
  <si>
    <t>шт.</t>
  </si>
  <si>
    <t>Арматура муфтовая оцинкованная к трубопроводам диаметром 80 мм</t>
  </si>
  <si>
    <t xml:space="preserve">Асфальт литой (жесткий) для покрытий тротуаров </t>
  </si>
  <si>
    <t>т</t>
  </si>
  <si>
    <t>Битумы нефтяные строительные марки БН-90/10</t>
  </si>
  <si>
    <t>Вентиль обратный муфтовый диаметром до 20 мм</t>
  </si>
  <si>
    <t>Вентиль обратный муфтовый диаметром до 32 мм</t>
  </si>
  <si>
    <t>Вентиль обратный муфтовый диаметром до 50 мм</t>
  </si>
  <si>
    <t>Ветошь</t>
  </si>
  <si>
    <t>Вода водопроводная</t>
  </si>
  <si>
    <t>м3</t>
  </si>
  <si>
    <t>Готовая приманка</t>
  </si>
  <si>
    <t>Готовая смесь для уничтожения насекомых (порошок Абсолют Дуст)</t>
  </si>
  <si>
    <t>Дюбели с калиброванной головкой (в обоймах) с цинковым хроматированным покрытием 3х78.5 мм</t>
  </si>
  <si>
    <t>Замазка белильная</t>
  </si>
  <si>
    <t>Замазка защитная</t>
  </si>
  <si>
    <t>Замазка оконная на олифе</t>
  </si>
  <si>
    <t>Клей ALT</t>
  </si>
  <si>
    <t>Краски масляные земляные  МА-0115: мумия, сурик  железный</t>
  </si>
  <si>
    <t>Крепления для трубопроводов: кронштейны, планки, хомуты</t>
  </si>
  <si>
    <t xml:space="preserve">Лен трепаный </t>
  </si>
  <si>
    <t>Лента стальная горячекатаная с катаной кромкой и разрезанная в рулонах толщиной 3.5 мм, шириной 100-220 мм, сталь полуспокойная марки Ст3пс</t>
  </si>
  <si>
    <t>Мастика битумно-резиновая</t>
  </si>
  <si>
    <t>Маты минераловатные прошивные без обкладок М-100, толщина  40 мм</t>
  </si>
  <si>
    <t>Мешки полиэтиленовые, 60 л</t>
  </si>
  <si>
    <t>Моющее средство</t>
  </si>
  <si>
    <t>Мыло</t>
  </si>
  <si>
    <t>Олифа комбинированная К-3</t>
  </si>
  <si>
    <t>Олифа натуральная</t>
  </si>
  <si>
    <t>Очес льняной</t>
  </si>
  <si>
    <t>Пескосоляная смесь</t>
  </si>
  <si>
    <t>Проволока стальная низкоуглеродистая разного  назначения оцинкованная диаметром 1,1 мм</t>
  </si>
  <si>
    <t>Раствор готовый кладочный цементно-известковый М50</t>
  </si>
  <si>
    <t>Раствор готовый кладочный цементный М100</t>
  </si>
  <si>
    <t>Раствор готовый кладочный цементный М25</t>
  </si>
  <si>
    <t>Розетка потолочная диаметр до 500 мм</t>
  </si>
  <si>
    <t>Светильник настенный с лампами накаливания</t>
  </si>
  <si>
    <t xml:space="preserve">Сжим ответвительный </t>
  </si>
  <si>
    <t>Скобы металлические</t>
  </si>
  <si>
    <t>Стекло листовое площадью до 1.0 м2, 1 группы, толщиной 3 мм марки М1</t>
  </si>
  <si>
    <t>м2</t>
  </si>
  <si>
    <t>Сурик свинцовый тертый</t>
  </si>
  <si>
    <t>Ткань мешочная</t>
  </si>
  <si>
    <t>10 м2</t>
  </si>
  <si>
    <t>Трубопроводы канализационные из полиэтиленовых труб высокой плотности с гильзами диаметром 100 мм</t>
  </si>
  <si>
    <t>пог. м</t>
  </si>
  <si>
    <t>Трубы стальные сварные водогазопроводные с резьбой оцинкованные обыкновенные диаметр условного прохода 25 мм, толщина стенки 3.2 мм</t>
  </si>
  <si>
    <t>Трубы стальные сварные водогазопроводные с резьбой оцинкованные обыкновенные диаметр условного прохода 80 мм, толщина стенки 4 мм</t>
  </si>
  <si>
    <t>Специнвентарь</t>
  </si>
  <si>
    <t>Ведро  оцинкованное, 12 л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</si>
  <si>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</si>
  <si>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</si>
  <si>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</si>
  <si>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</si>
  <si>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</si>
  <si>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</si>
  <si>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</si>
  <si>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</si>
  <si>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Щетка д/пола 280 мм с черенком на резьбе 1,2 м.</t>
  </si>
  <si>
    <t>Машины/Механизмы</t>
  </si>
  <si>
    <t>Погрузка в мусоровозы 20-24 куб.м</t>
  </si>
  <si>
    <t>маш.-час.</t>
  </si>
  <si>
    <t>Погрузка-разгрузка бункеровоза КГМ 7,8 куб. м</t>
  </si>
  <si>
    <t>Транспортировка КГМ на бункеровозе 7,8 куб.м</t>
  </si>
  <si>
    <t>Транспортировка на мусоровозе 20-24 куб.м</t>
  </si>
</sst>
</file>

<file path=xl/styles.xml><?xml version="1.0" encoding="utf-8"?>
<styleSheet xmlns="http://schemas.openxmlformats.org/spreadsheetml/2006/main">
  <fonts count="8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b/>
      <sz val="9"/>
      <color indexed="10"/>
      <name val="Arial"/>
      <family val="0"/>
    </font>
    <font>
      <b/>
      <sz val="11"/>
      <color indexed="10"/>
      <name val="Courier"/>
      <family val="0"/>
    </font>
    <font>
      <b/>
      <sz val="11"/>
      <color indexed="10"/>
      <name val="Arial"/>
      <family val="0"/>
    </font>
    <font>
      <b/>
      <sz val="12"/>
      <color indexed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left" vertical="center"/>
      <protection/>
    </xf>
    <xf numFmtId="0" fontId="3" fillId="0" borderId="7" xfId="0" applyFont="1" applyFill="1" applyBorder="1" applyAlignment="1" applyProtection="1">
      <alignment horizontal="left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4" fontId="3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8" xfId="0" applyFill="1" applyBorder="1" applyAlignment="1" applyProtection="1">
      <alignment horizontal="left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4" fontId="0" fillId="0" borderId="8" xfId="0" applyNumberForma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4" fontId="4" fillId="0" borderId="2" xfId="0" applyNumberFormat="1" applyFont="1" applyFill="1" applyBorder="1" applyAlignment="1" applyProtection="1">
      <alignment horizontal="right" vertical="center"/>
      <protection/>
    </xf>
    <xf numFmtId="4" fontId="4" fillId="0" borderId="3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left" vertical="center" wrapText="1"/>
      <protection/>
    </xf>
    <xf numFmtId="0" fontId="0" fillId="0" borderId="7" xfId="0" applyFill="1" applyBorder="1" applyAlignment="1" applyProtection="1">
      <alignment horizontal="right" vertical="center"/>
      <protection/>
    </xf>
    <xf numFmtId="4" fontId="0" fillId="0" borderId="7" xfId="0" applyNumberFormat="1" applyFill="1" applyBorder="1" applyAlignment="1" applyProtection="1">
      <alignment horizontal="right" vertical="center"/>
      <protection/>
    </xf>
    <xf numFmtId="0" fontId="0" fillId="0" borderId="8" xfId="0" applyFill="1" applyBorder="1" applyAlignment="1" applyProtection="1">
      <alignment horizontal="right" vertical="center"/>
      <protection/>
    </xf>
    <xf numFmtId="4" fontId="0" fillId="0" borderId="10" xfId="0" applyNumberForma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horizontal="lef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workbookViewId="0" topLeftCell="A1">
      <selection activeCell="A2" sqref="A2"/>
    </sheetView>
  </sheetViews>
  <sheetFormatPr defaultColWidth="9.140625" defaultRowHeight="12"/>
  <cols>
    <col min="1" max="1" width="0" style="0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3" width="15.00390625" style="0" customWidth="1"/>
  </cols>
  <sheetData>
    <row r="1" spans="2:13" ht="27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">
      <c r="A3" s="2"/>
      <c r="B3" s="20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5" t="s">
        <v>12</v>
      </c>
    </row>
    <row r="4" spans="2:13" ht="19.5" customHeight="1">
      <c r="B4" s="7" t="s">
        <v>13</v>
      </c>
      <c r="C4" s="10"/>
      <c r="D4" s="10"/>
      <c r="E4" s="11"/>
      <c r="F4" s="11"/>
      <c r="G4" s="12"/>
      <c r="H4" s="12"/>
      <c r="I4" s="12"/>
      <c r="J4" s="12"/>
      <c r="K4" s="12"/>
      <c r="L4" s="12"/>
      <c r="M4" s="17"/>
    </row>
    <row r="5" spans="2:13" ht="12">
      <c r="B5" s="8">
        <v>1</v>
      </c>
      <c r="C5" s="13" t="s">
        <v>14</v>
      </c>
      <c r="D5" s="13" t="s">
        <v>15</v>
      </c>
      <c r="E5" s="14">
        <v>0.1</v>
      </c>
      <c r="F5" s="14">
        <v>1</v>
      </c>
      <c r="G5" s="15">
        <f>450.934206*E5*F5</f>
        <v>45.0934206</v>
      </c>
      <c r="H5" s="15">
        <f>0*E5*F5</f>
        <v>0</v>
      </c>
      <c r="I5" s="15">
        <f>0*E5*F5</f>
        <v>0</v>
      </c>
      <c r="J5" s="15">
        <f>429.289364112*E5*F5</f>
        <v>42.9289364112</v>
      </c>
      <c r="K5" s="15">
        <f>92.42347486176*E5*F5</f>
        <v>9.242347486176</v>
      </c>
      <c r="L5" s="15">
        <f>90.1868412*E5*F5</f>
        <v>9.018684120000001</v>
      </c>
      <c r="M5" s="18">
        <f>SUM(G5:L5)</f>
        <v>106.283388617376</v>
      </c>
    </row>
    <row r="6" spans="2:13" ht="12">
      <c r="B6" s="8">
        <v>2</v>
      </c>
      <c r="C6" s="13" t="s">
        <v>16</v>
      </c>
      <c r="D6" s="13" t="s">
        <v>17</v>
      </c>
      <c r="E6" s="14">
        <v>0.01</v>
      </c>
      <c r="F6" s="14">
        <v>1</v>
      </c>
      <c r="G6" s="15">
        <f>6764.00691*E6*F6</f>
        <v>67.6400691</v>
      </c>
      <c r="H6" s="15">
        <f>36459.89546*E6*F6</f>
        <v>364.5989546</v>
      </c>
      <c r="I6" s="15">
        <f>0*E6*F6</f>
        <v>0</v>
      </c>
      <c r="J6" s="15">
        <f>6439.33457832*E6*F6</f>
        <v>64.3933457832</v>
      </c>
      <c r="K6" s="15">
        <f>5214.6398795736*E6*F6</f>
        <v>52.146398795736005</v>
      </c>
      <c r="L6" s="15">
        <f>1352.801382*E6*F6</f>
        <v>13.528013820000002</v>
      </c>
      <c r="M6" s="18">
        <f>SUM(G6:L6)</f>
        <v>562.306782098936</v>
      </c>
    </row>
    <row r="7" spans="2:13" ht="12">
      <c r="B7" s="8">
        <v>3</v>
      </c>
      <c r="C7" s="13" t="s">
        <v>18</v>
      </c>
      <c r="D7" s="13" t="s">
        <v>19</v>
      </c>
      <c r="E7" s="14">
        <v>0.01</v>
      </c>
      <c r="F7" s="14">
        <v>1</v>
      </c>
      <c r="G7" s="15">
        <f>27950.595*E7*F7</f>
        <v>279.50595000000004</v>
      </c>
      <c r="H7" s="15">
        <f>9525.452336*E7*F7</f>
        <v>95.25452336000001</v>
      </c>
      <c r="I7" s="15">
        <f>0*E7*F7</f>
        <v>0</v>
      </c>
      <c r="J7" s="15">
        <f>26608.96644*E7*F7</f>
        <v>266.0896644</v>
      </c>
      <c r="K7" s="15">
        <f>6728.92644648*E7*F7</f>
        <v>67.2892644648</v>
      </c>
      <c r="L7" s="15">
        <f>5590.119*E7*F7</f>
        <v>55.90119</v>
      </c>
      <c r="M7" s="18">
        <f>SUM(G7:L7)</f>
        <v>764.0405922248001</v>
      </c>
    </row>
    <row r="8" spans="2:13" ht="12">
      <c r="B8" s="8">
        <v>4</v>
      </c>
      <c r="C8" s="13" t="s">
        <v>20</v>
      </c>
      <c r="D8" s="13" t="s">
        <v>21</v>
      </c>
      <c r="E8" s="14">
        <v>0.02</v>
      </c>
      <c r="F8" s="14">
        <v>1</v>
      </c>
      <c r="G8" s="15">
        <f>22533.4233*E8*F8</f>
        <v>450.66846599999997</v>
      </c>
      <c r="H8" s="15">
        <f>1269.8720836*E8*F8</f>
        <v>25.397441672</v>
      </c>
      <c r="I8" s="15">
        <f>0*E8*F8</f>
        <v>0</v>
      </c>
      <c r="J8" s="15">
        <f>21451.8189816*E8*F8</f>
        <v>429.03637963200003</v>
      </c>
      <c r="K8" s="15">
        <f>4751.787008346*E8*F8</f>
        <v>95.03574016692001</v>
      </c>
      <c r="L8" s="15">
        <f>4506.68466*E8*F8</f>
        <v>90.1336932</v>
      </c>
      <c r="M8" s="18">
        <f>SUM(G8:L8)</f>
        <v>1090.27172067092</v>
      </c>
    </row>
    <row r="9" spans="2:13" ht="12">
      <c r="B9" s="8">
        <v>5</v>
      </c>
      <c r="C9" s="13" t="s">
        <v>22</v>
      </c>
      <c r="D9" s="13" t="s">
        <v>23</v>
      </c>
      <c r="E9" s="14">
        <v>0.02</v>
      </c>
      <c r="F9" s="14">
        <v>1</v>
      </c>
      <c r="G9" s="15">
        <f>17670.366159*E9*F9</f>
        <v>353.40732318000005</v>
      </c>
      <c r="H9" s="15">
        <f>15497.888106896*E9*F9</f>
        <v>309.95776213792</v>
      </c>
      <c r="I9" s="15">
        <f>0*E9*F9</f>
        <v>0</v>
      </c>
      <c r="J9" s="15">
        <f>16822.188583368*E9*F9</f>
        <v>336.44377166736</v>
      </c>
      <c r="K9" s="15">
        <f>5248.9964991727*E9*F9</f>
        <v>104.979929983454</v>
      </c>
      <c r="L9" s="15">
        <f>3534.0732318*E9*F9</f>
        <v>70.681464636</v>
      </c>
      <c r="M9" s="18">
        <f>SUM(G9:L9)</f>
        <v>1175.4702516047341</v>
      </c>
    </row>
    <row r="10" spans="2:13" ht="12">
      <c r="B10" s="8">
        <v>6</v>
      </c>
      <c r="C10" s="13" t="s">
        <v>24</v>
      </c>
      <c r="D10" s="13" t="s">
        <v>23</v>
      </c>
      <c r="E10" s="14">
        <v>0.01</v>
      </c>
      <c r="F10" s="14">
        <v>1</v>
      </c>
      <c r="G10" s="15">
        <f>32571.76004*E10*F10</f>
        <v>325.71760040000004</v>
      </c>
      <c r="H10" s="15">
        <f>57259.556194776*E10*F10</f>
        <v>572.59556194776</v>
      </c>
      <c r="I10" s="15">
        <f>0*E10*F10</f>
        <v>0</v>
      </c>
      <c r="J10" s="15">
        <f>31008.31555808*E10*F10</f>
        <v>310.0831555808</v>
      </c>
      <c r="K10" s="15">
        <f>12688.16133825*E10*F10</f>
        <v>126.8816133825</v>
      </c>
      <c r="L10" s="15">
        <f>6514.352008*E10*F10</f>
        <v>65.14352008</v>
      </c>
      <c r="M10" s="18">
        <f>SUM(G10:L10)</f>
        <v>1400.42145139106</v>
      </c>
    </row>
    <row r="11" spans="2:13" ht="12">
      <c r="B11" s="8">
        <v>7</v>
      </c>
      <c r="C11" s="13" t="s">
        <v>25</v>
      </c>
      <c r="D11" s="13" t="s">
        <v>26</v>
      </c>
      <c r="E11" s="14">
        <v>0.06</v>
      </c>
      <c r="F11" s="14">
        <v>1</v>
      </c>
      <c r="G11" s="15">
        <f>15725.7207*E11*F11</f>
        <v>943.543242</v>
      </c>
      <c r="H11" s="15">
        <f>11933.14423336*E11*F11</f>
        <v>715.9886540016</v>
      </c>
      <c r="I11" s="15">
        <f>0*E11*F11</f>
        <v>0</v>
      </c>
      <c r="J11" s="15">
        <f>14970.8861064*E11*F11</f>
        <v>898.2531663839999</v>
      </c>
      <c r="K11" s="15">
        <f>4476.1238591748*E11*F11</f>
        <v>268.567431550488</v>
      </c>
      <c r="L11" s="15">
        <f>3145.14414*E11*F11</f>
        <v>188.7086484</v>
      </c>
      <c r="M11" s="18">
        <f>SUM(G11:L11)</f>
        <v>3015.061142336088</v>
      </c>
    </row>
    <row r="12" spans="2:13" ht="12">
      <c r="B12" s="8">
        <v>8</v>
      </c>
      <c r="C12" s="13" t="s">
        <v>27</v>
      </c>
      <c r="D12" s="13" t="s">
        <v>26</v>
      </c>
      <c r="E12" s="14">
        <v>0.06</v>
      </c>
      <c r="F12" s="14">
        <v>1</v>
      </c>
      <c r="G12" s="15">
        <f>19996.9041*E12*F12</f>
        <v>1199.814246</v>
      </c>
      <c r="H12" s="15">
        <f>23143.124555*E12*F12</f>
        <v>1388.5874732999998</v>
      </c>
      <c r="I12" s="15">
        <f>0*E12*F12</f>
        <v>0</v>
      </c>
      <c r="J12" s="15">
        <f>19037.0527032*E12*F12</f>
        <v>1142.2231621919998</v>
      </c>
      <c r="K12" s="15">
        <f>6528.593542611*E12*F12</f>
        <v>391.71561255666</v>
      </c>
      <c r="L12" s="15">
        <f>3999.38082*E12*F12</f>
        <v>239.9628492</v>
      </c>
      <c r="M12" s="18">
        <f>SUM(G12:L12)</f>
        <v>4362.30334324866</v>
      </c>
    </row>
    <row r="13" spans="2:13" ht="12">
      <c r="B13" s="8">
        <v>9</v>
      </c>
      <c r="C13" s="13" t="s">
        <v>28</v>
      </c>
      <c r="D13" s="13" t="s">
        <v>26</v>
      </c>
      <c r="E13" s="14">
        <v>0.01</v>
      </c>
      <c r="F13" s="14">
        <v>1</v>
      </c>
      <c r="G13" s="15">
        <f>25821.2451*E13*F13</f>
        <v>258.212451</v>
      </c>
      <c r="H13" s="15">
        <f>51203.35116988*E13*F13</f>
        <v>512.0335116988</v>
      </c>
      <c r="I13" s="15">
        <f>0*E13*F13</f>
        <v>0</v>
      </c>
      <c r="J13" s="15">
        <f>24581.8253352*E13*F13</f>
        <v>245.818253352</v>
      </c>
      <c r="K13" s="15">
        <f>10668.674268533*E13*F13</f>
        <v>106.68674268532999</v>
      </c>
      <c r="L13" s="15">
        <f>5164.24902*E13*F13</f>
        <v>51.642490200000005</v>
      </c>
      <c r="M13" s="18">
        <f>SUM(G13:L13)</f>
        <v>1174.3934489361302</v>
      </c>
    </row>
    <row r="14" spans="2:13" ht="12">
      <c r="B14" s="8">
        <v>10</v>
      </c>
      <c r="C14" s="13" t="s">
        <v>29</v>
      </c>
      <c r="D14" s="13" t="s">
        <v>23</v>
      </c>
      <c r="E14" s="14">
        <v>0.01</v>
      </c>
      <c r="F14" s="14">
        <v>1</v>
      </c>
      <c r="G14" s="15">
        <f>12990.807535*E14*F14</f>
        <v>129.90807535</v>
      </c>
      <c r="H14" s="15">
        <f>11668.29925*E14*F14</f>
        <v>116.6829925</v>
      </c>
      <c r="I14" s="15">
        <f>0*E14*F14</f>
        <v>0</v>
      </c>
      <c r="J14" s="15">
        <f>12367.24877332*E14*F14</f>
        <v>123.6724877332</v>
      </c>
      <c r="K14" s="15">
        <f>3887.7673336236*E14*F14</f>
        <v>38.877673336236</v>
      </c>
      <c r="L14" s="15">
        <f>2598.161507*E14*F14</f>
        <v>25.98161507</v>
      </c>
      <c r="M14" s="18">
        <f>SUM(G14:L14)</f>
        <v>435.122843989436</v>
      </c>
    </row>
    <row r="15" spans="2:13" ht="12">
      <c r="B15" s="8">
        <v>11</v>
      </c>
      <c r="C15" s="13" t="s">
        <v>30</v>
      </c>
      <c r="D15" s="13" t="s">
        <v>23</v>
      </c>
      <c r="E15" s="14">
        <v>0.01</v>
      </c>
      <c r="F15" s="14">
        <v>1</v>
      </c>
      <c r="G15" s="15">
        <f>12990.807535*E15*F15</f>
        <v>129.90807535</v>
      </c>
      <c r="H15" s="15">
        <f>11668.29925*E15*F15</f>
        <v>116.6829925</v>
      </c>
      <c r="I15" s="15">
        <f>0*E15*F15</f>
        <v>0</v>
      </c>
      <c r="J15" s="15">
        <f>12367.24877332*E15*F15</f>
        <v>123.6724877332</v>
      </c>
      <c r="K15" s="15">
        <f>3887.7673336236*E15*F15</f>
        <v>38.877673336236</v>
      </c>
      <c r="L15" s="15">
        <f>2598.161507*E15*F15</f>
        <v>25.98161507</v>
      </c>
      <c r="M15" s="18">
        <f>SUM(G15:L15)</f>
        <v>435.122843989436</v>
      </c>
    </row>
    <row r="16" spans="2:13" ht="12">
      <c r="B16" s="8">
        <v>12</v>
      </c>
      <c r="C16" s="13" t="s">
        <v>31</v>
      </c>
      <c r="D16" s="13" t="s">
        <v>32</v>
      </c>
      <c r="E16" s="14">
        <v>5</v>
      </c>
      <c r="F16" s="14">
        <v>1</v>
      </c>
      <c r="G16" s="15">
        <f>83.943146*E16*F16</f>
        <v>419.71573</v>
      </c>
      <c r="H16" s="15">
        <f>940.3372104*E16*F16</f>
        <v>4701.686052</v>
      </c>
      <c r="I16" s="15">
        <f>0*E16*F16</f>
        <v>0</v>
      </c>
      <c r="J16" s="15">
        <f>79.913874992*E16*F16</f>
        <v>399.56937496</v>
      </c>
      <c r="K16" s="15">
        <f>115.94039429616*E16*F16</f>
        <v>579.7019714808</v>
      </c>
      <c r="L16" s="15">
        <f>16.7886292*E16*F16</f>
        <v>83.943146</v>
      </c>
      <c r="M16" s="18">
        <f>SUM(G16:L16)</f>
        <v>6184.6162744408</v>
      </c>
    </row>
    <row r="17" spans="2:13" ht="12">
      <c r="B17" s="8">
        <v>13</v>
      </c>
      <c r="C17" s="13" t="s">
        <v>33</v>
      </c>
      <c r="D17" s="13" t="s">
        <v>34</v>
      </c>
      <c r="E17" s="14">
        <v>0.029</v>
      </c>
      <c r="F17" s="14">
        <v>1</v>
      </c>
      <c r="G17" s="15">
        <f>4017.5871*E17*F17</f>
        <v>116.51002590000002</v>
      </c>
      <c r="H17" s="15">
        <f>11716.715585184*E17*F17</f>
        <v>339.784751970336</v>
      </c>
      <c r="I17" s="15">
        <f>0*E17*F17</f>
        <v>0</v>
      </c>
      <c r="J17" s="15">
        <f>3824.7429192*E17*F17</f>
        <v>110.9175446568</v>
      </c>
      <c r="K17" s="15">
        <f>2053.6997884603*E17*F17</f>
        <v>59.55729386534871</v>
      </c>
      <c r="L17" s="15">
        <f>803.51742*E17*F17</f>
        <v>23.302005180000002</v>
      </c>
      <c r="M17" s="18">
        <f>SUM(G17:L17)</f>
        <v>650.0716215724848</v>
      </c>
    </row>
    <row r="18" spans="2:13" ht="12">
      <c r="B18" s="8">
        <v>14</v>
      </c>
      <c r="C18" s="13" t="s">
        <v>35</v>
      </c>
      <c r="D18" s="13" t="s">
        <v>36</v>
      </c>
      <c r="E18" s="14">
        <v>1</v>
      </c>
      <c r="F18" s="14">
        <v>1</v>
      </c>
      <c r="G18" s="15">
        <f>71.169189*E18*F18</f>
        <v>71.169189</v>
      </c>
      <c r="H18" s="15">
        <f>0*E18*F18</f>
        <v>0</v>
      </c>
      <c r="I18" s="15">
        <f>0*E18*F18</f>
        <v>0</v>
      </c>
      <c r="J18" s="15">
        <f>67.753067928*E18*F18</f>
        <v>67.753067928</v>
      </c>
      <c r="K18" s="15">
        <f>14.58683697744*E18*F18</f>
        <v>14.58683697744</v>
      </c>
      <c r="L18" s="15">
        <f>14.2338378*E18*F18</f>
        <v>14.2338378</v>
      </c>
      <c r="M18" s="18">
        <f>SUM(G18:L18)</f>
        <v>167.74293170544001</v>
      </c>
    </row>
    <row r="19" spans="2:13" ht="12">
      <c r="B19" s="8">
        <v>15</v>
      </c>
      <c r="C19" s="13" t="s">
        <v>37</v>
      </c>
      <c r="D19" s="13" t="s">
        <v>36</v>
      </c>
      <c r="E19" s="14">
        <v>1</v>
      </c>
      <c r="F19" s="14">
        <v>1</v>
      </c>
      <c r="G19" s="15">
        <f>823.2172*E19*F19</f>
        <v>823.2172</v>
      </c>
      <c r="H19" s="15">
        <f>0*E19*F19</f>
        <v>0</v>
      </c>
      <c r="I19" s="15">
        <f>0*E19*F19</f>
        <v>0</v>
      </c>
      <c r="J19" s="15">
        <f>783.7027744*E19*F19</f>
        <v>783.7027744</v>
      </c>
      <c r="K19" s="15">
        <f>168.726597312*E19*F19</f>
        <v>168.726597312</v>
      </c>
      <c r="L19" s="15">
        <f>164.64344*E19*F19</f>
        <v>164.64344</v>
      </c>
      <c r="M19" s="18">
        <f>SUM(G19:L19)</f>
        <v>1940.290011712</v>
      </c>
    </row>
    <row r="20" spans="2:13" ht="12">
      <c r="B20" s="8">
        <v>16</v>
      </c>
      <c r="C20" s="13" t="s">
        <v>38</v>
      </c>
      <c r="D20" s="13" t="s">
        <v>39</v>
      </c>
      <c r="E20" s="14">
        <v>1</v>
      </c>
      <c r="F20" s="14">
        <v>1</v>
      </c>
      <c r="G20" s="15">
        <f>1651.072078*E20*F20</f>
        <v>1651.072078</v>
      </c>
      <c r="H20" s="15">
        <f>0*E20*F20</f>
        <v>0</v>
      </c>
      <c r="I20" s="15">
        <f>0*E20*F20</f>
        <v>0</v>
      </c>
      <c r="J20" s="15">
        <f>1571.820618256*E20*F20</f>
        <v>1571.820618256</v>
      </c>
      <c r="K20" s="15">
        <f>338.40373310688*E20*F20</f>
        <v>338.40373310688</v>
      </c>
      <c r="L20" s="15">
        <f>330.2144156*E20*F20</f>
        <v>330.2144156</v>
      </c>
      <c r="M20" s="18">
        <f>SUM(G20:L20)</f>
        <v>3891.5108449628797</v>
      </c>
    </row>
    <row r="21" spans="2:13" ht="12">
      <c r="B21" s="8">
        <v>17</v>
      </c>
      <c r="C21" s="13" t="s">
        <v>40</v>
      </c>
      <c r="D21" s="13" t="s">
        <v>41</v>
      </c>
      <c r="E21" s="14">
        <v>1</v>
      </c>
      <c r="F21" s="14">
        <v>241</v>
      </c>
      <c r="G21" s="15">
        <f>164.0891277771*E21*F21</f>
        <v>39545.4797942811</v>
      </c>
      <c r="H21" s="15">
        <f>2.501297076012*E21*F21</f>
        <v>602.812595318892</v>
      </c>
      <c r="I21" s="15">
        <f>0*E21*F21</f>
        <v>0</v>
      </c>
      <c r="J21" s="15">
        <f>156.2128496438*E21*F21</f>
        <v>37647.296764155806</v>
      </c>
      <c r="K21" s="15">
        <f>33.894343822175*E21*F21</f>
        <v>8168.536861144175</v>
      </c>
      <c r="L21" s="15">
        <f>32.81782555542*E21*F21</f>
        <v>7909.09595885622</v>
      </c>
      <c r="M21" s="18">
        <f>SUM(G21:L21)</f>
        <v>93873.22197375621</v>
      </c>
    </row>
    <row r="22" spans="2:13" ht="12">
      <c r="B22" s="8">
        <v>18</v>
      </c>
      <c r="C22" s="13" t="s">
        <v>42</v>
      </c>
      <c r="D22" s="13" t="s">
        <v>41</v>
      </c>
      <c r="E22" s="14">
        <v>1</v>
      </c>
      <c r="F22" s="14">
        <v>104</v>
      </c>
      <c r="G22" s="15">
        <f>125.152725*E22*F22</f>
        <v>13015.8834</v>
      </c>
      <c r="H22" s="15">
        <f>2.399733035356*E22*F22</f>
        <v>249.57223567702397</v>
      </c>
      <c r="I22" s="15">
        <f>0*E22*F22</f>
        <v>0</v>
      </c>
      <c r="J22" s="15">
        <f>119.1453942*E22*F22</f>
        <v>12391.1209968</v>
      </c>
      <c r="K22" s="15">
        <f>25.903274484712*E22*F22</f>
        <v>2693.9405464100482</v>
      </c>
      <c r="L22" s="15">
        <f>25.030545*E22*F22</f>
        <v>2603.17668</v>
      </c>
      <c r="M22" s="18">
        <f>SUM(G22:L22)</f>
        <v>30953.693858887073</v>
      </c>
    </row>
    <row r="23" spans="2:13" ht="12">
      <c r="B23" s="8">
        <v>19</v>
      </c>
      <c r="C23" s="13" t="s">
        <v>43</v>
      </c>
      <c r="D23" s="13" t="s">
        <v>41</v>
      </c>
      <c r="E23" s="14">
        <v>1</v>
      </c>
      <c r="F23" s="14">
        <v>24</v>
      </c>
      <c r="G23" s="15">
        <f>303.1477122229*E23*F23</f>
        <v>7275.5450933495995</v>
      </c>
      <c r="H23" s="15">
        <f>54.476614562084*E23*F23</f>
        <v>1307.438749490016</v>
      </c>
      <c r="I23" s="15">
        <f>0*E23*F23</f>
        <v>0</v>
      </c>
      <c r="J23" s="15">
        <f>288.5966220362*E23*F23</f>
        <v>6926.318928868801</v>
      </c>
      <c r="K23" s="15">
        <f>67.853199626225*E23*F23</f>
        <v>1628.4767910294001</v>
      </c>
      <c r="L23" s="15">
        <f>60.62954244458*E23*F23</f>
        <v>1455.1090186699198</v>
      </c>
      <c r="M23" s="18">
        <f>SUM(G23:L23)</f>
        <v>18592.888581407737</v>
      </c>
    </row>
    <row r="24" spans="2:13" ht="12">
      <c r="B24" s="8">
        <v>20</v>
      </c>
      <c r="C24" s="13" t="s">
        <v>44</v>
      </c>
      <c r="D24" s="13" t="s">
        <v>26</v>
      </c>
      <c r="E24" s="14">
        <v>1</v>
      </c>
      <c r="F24" s="14">
        <v>1</v>
      </c>
      <c r="G24" s="15">
        <f>150.18327*E24*F24</f>
        <v>150.18327</v>
      </c>
      <c r="H24" s="15">
        <f>2.03853751322*E24*F24</f>
        <v>2.03853751322</v>
      </c>
      <c r="I24" s="15">
        <f>0*E24*F24</f>
        <v>0</v>
      </c>
      <c r="J24" s="15">
        <f>142.97447304*E24*F24</f>
        <v>142.97447304</v>
      </c>
      <c r="K24" s="15">
        <f>30.995609458088*E24*F24</f>
        <v>30.995609458088</v>
      </c>
      <c r="L24" s="15">
        <f>30.036654*E24*F24</f>
        <v>30.036654</v>
      </c>
      <c r="M24" s="18">
        <f>SUM(G24:L24)</f>
        <v>356.228544011308</v>
      </c>
    </row>
    <row r="25" spans="2:13" ht="12">
      <c r="B25" s="8">
        <v>21</v>
      </c>
      <c r="C25" s="13" t="s">
        <v>45</v>
      </c>
      <c r="D25" s="13" t="s">
        <v>46</v>
      </c>
      <c r="E25" s="14">
        <v>1</v>
      </c>
      <c r="F25" s="14">
        <v>2</v>
      </c>
      <c r="G25" s="15">
        <f>378.2393472229*E25*F25</f>
        <v>756.4786944458</v>
      </c>
      <c r="H25" s="15">
        <f>24.64798648668*E25*F25</f>
        <v>49.29597297336</v>
      </c>
      <c r="I25" s="15">
        <f>0*E25*F25</f>
        <v>0</v>
      </c>
      <c r="J25" s="15">
        <f>360.0838585562*E25*F25</f>
        <v>720.1677171124</v>
      </c>
      <c r="K25" s="15">
        <f>80.111975187907*E25*F25</f>
        <v>160.223950375814</v>
      </c>
      <c r="L25" s="15">
        <f>75.64786944458*E25*F25</f>
        <v>151.29573888916</v>
      </c>
      <c r="M25" s="18">
        <f>SUM(G25:L25)</f>
        <v>1837.462073796534</v>
      </c>
    </row>
    <row r="26" spans="2:13" ht="12">
      <c r="B26" s="8">
        <v>22</v>
      </c>
      <c r="C26" s="13" t="s">
        <v>47</v>
      </c>
      <c r="D26" s="13" t="s">
        <v>48</v>
      </c>
      <c r="E26" s="14">
        <v>0.5</v>
      </c>
      <c r="F26" s="14">
        <v>2</v>
      </c>
      <c r="G26" s="15">
        <f>63.966947777099*E26*F26</f>
        <v>63.966947777099</v>
      </c>
      <c r="H26" s="15">
        <f>0.176456011152*E26*F26</f>
        <v>0.176456011152</v>
      </c>
      <c r="I26" s="15">
        <f>0*E26*F26</f>
        <v>0</v>
      </c>
      <c r="J26" s="15">
        <f>60.896534283798*E26*F26</f>
        <v>60.896534283798</v>
      </c>
      <c r="K26" s="15">
        <f>13.129193497565*E26*F26</f>
        <v>13.129193497565</v>
      </c>
      <c r="L26" s="15">
        <f>12.79338955542*E26*F26</f>
        <v>12.79338955542</v>
      </c>
      <c r="M26" s="18">
        <f>SUM(G26:L26)</f>
        <v>150.96252112503402</v>
      </c>
    </row>
    <row r="27" spans="2:13" ht="12">
      <c r="B27" s="8">
        <v>23</v>
      </c>
      <c r="C27" s="13" t="s">
        <v>49</v>
      </c>
      <c r="D27" s="13" t="s">
        <v>50</v>
      </c>
      <c r="E27" s="14">
        <v>0.5</v>
      </c>
      <c r="F27" s="14">
        <v>1</v>
      </c>
      <c r="G27" s="15">
        <f>178.551221*E27*F27</f>
        <v>89.2756105</v>
      </c>
      <c r="H27" s="15">
        <f>41.27526*E27*F27</f>
        <v>20.63763</v>
      </c>
      <c r="I27" s="15">
        <f>0*E27*F27</f>
        <v>0</v>
      </c>
      <c r="J27" s="15">
        <f>169.980762392*E27*F27</f>
        <v>84.990381196</v>
      </c>
      <c r="K27" s="15">
        <f>40.92976055616*E27*F27</f>
        <v>20.46488027808</v>
      </c>
      <c r="L27" s="15">
        <f>35.7102442*E27*F27</f>
        <v>17.8551221</v>
      </c>
      <c r="M27" s="18">
        <f>SUM(G27:L27)</f>
        <v>233.22362407408</v>
      </c>
    </row>
    <row r="28" spans="2:13" ht="12">
      <c r="B28" s="8">
        <v>24</v>
      </c>
      <c r="C28" s="13" t="s">
        <v>51</v>
      </c>
      <c r="D28" s="13" t="s">
        <v>52</v>
      </c>
      <c r="E28" s="14">
        <v>0.5</v>
      </c>
      <c r="F28" s="14">
        <v>1</v>
      </c>
      <c r="G28" s="15">
        <f>364.2778649*E28*F28</f>
        <v>182.13893245</v>
      </c>
      <c r="H28" s="15">
        <f>41.27526*E28*F28</f>
        <v>20.63763</v>
      </c>
      <c r="I28" s="15">
        <f>0*E28*F28</f>
        <v>0</v>
      </c>
      <c r="J28" s="15">
        <f>346.7925273848*E28*F28</f>
        <v>173.3962636924</v>
      </c>
      <c r="K28" s="15">
        <f>78.996293489904*E28*F28</f>
        <v>39.498146744952</v>
      </c>
      <c r="L28" s="15">
        <f>72.85557298*E28*F28</f>
        <v>36.42778649</v>
      </c>
      <c r="M28" s="18">
        <f>SUM(G28:L28)</f>
        <v>452.09875937735205</v>
      </c>
    </row>
    <row r="29" spans="2:13" ht="12">
      <c r="B29" s="8">
        <v>25</v>
      </c>
      <c r="C29" s="13" t="s">
        <v>53</v>
      </c>
      <c r="D29" s="13" t="s">
        <v>54</v>
      </c>
      <c r="E29" s="14">
        <v>0.5</v>
      </c>
      <c r="F29" s="14">
        <v>1</v>
      </c>
      <c r="G29" s="15">
        <f>303.703946*E29*F29</f>
        <v>151.851973</v>
      </c>
      <c r="H29" s="15">
        <f>41.27526*E29*F29</f>
        <v>20.63763</v>
      </c>
      <c r="I29" s="15">
        <f>0*E29*F29</f>
        <v>0</v>
      </c>
      <c r="J29" s="15">
        <f>289.126156592*E29*F29</f>
        <v>144.563078296</v>
      </c>
      <c r="K29" s="15">
        <f>66.58106307216*E29*F29</f>
        <v>33.29053153608</v>
      </c>
      <c r="L29" s="15">
        <f>60.7407892*E29*F29</f>
        <v>30.3703946</v>
      </c>
      <c r="M29" s="18">
        <f>SUM(G29:L29)</f>
        <v>380.7136074320799</v>
      </c>
    </row>
    <row r="30" spans="2:13" ht="12">
      <c r="B30" s="8">
        <v>26</v>
      </c>
      <c r="C30" s="13" t="s">
        <v>55</v>
      </c>
      <c r="D30" s="13" t="s">
        <v>56</v>
      </c>
      <c r="E30" s="14">
        <v>0.5</v>
      </c>
      <c r="F30" s="14">
        <v>1</v>
      </c>
      <c r="G30" s="15">
        <f>253.07549698*E30*F30</f>
        <v>126.53774849</v>
      </c>
      <c r="H30" s="15">
        <f>16.15906*E30*F30</f>
        <v>8.07953</v>
      </c>
      <c r="I30" s="15">
        <f>0*E30*F30</f>
        <v>0</v>
      </c>
      <c r="J30" s="15">
        <f>240.92787312496*E30*F30</f>
        <v>120.46393656248</v>
      </c>
      <c r="K30" s="15">
        <f>53.567055161021*E30*F30</f>
        <v>26.7835275805105</v>
      </c>
      <c r="L30" s="15">
        <f>50.615099396*E30*F30</f>
        <v>25.307549698</v>
      </c>
      <c r="M30" s="18">
        <f>SUM(G30:L30)</f>
        <v>307.1722923309905</v>
      </c>
    </row>
    <row r="31" spans="2:13" ht="12">
      <c r="B31" s="8">
        <v>27</v>
      </c>
      <c r="C31" s="13" t="s">
        <v>57</v>
      </c>
      <c r="D31" s="13" t="s">
        <v>58</v>
      </c>
      <c r="E31" s="14">
        <v>0.5</v>
      </c>
      <c r="F31" s="14">
        <v>1</v>
      </c>
      <c r="G31" s="15">
        <f>475.580355*E31*F31</f>
        <v>237.7901775</v>
      </c>
      <c r="H31" s="15">
        <f>41.27526*E31*F31</f>
        <v>20.63763</v>
      </c>
      <c r="I31" s="15">
        <f>0*E31*F31</f>
        <v>0</v>
      </c>
      <c r="J31" s="15">
        <f>452.75249796*E31*F31</f>
        <v>226.37624898</v>
      </c>
      <c r="K31" s="15">
        <f>101.8088518608*E31*F31</f>
        <v>50.9044259304</v>
      </c>
      <c r="L31" s="15">
        <f>95.116071*E31*F31</f>
        <v>47.5580355</v>
      </c>
      <c r="M31" s="18">
        <f>SUM(G31:L31)</f>
        <v>583.2665179103999</v>
      </c>
    </row>
    <row r="32" spans="2:13" ht="12">
      <c r="B32" s="8">
        <v>28</v>
      </c>
      <c r="C32" s="13" t="s">
        <v>59</v>
      </c>
      <c r="D32" s="13" t="s">
        <v>60</v>
      </c>
      <c r="E32" s="14">
        <v>1</v>
      </c>
      <c r="F32" s="14">
        <v>1</v>
      </c>
      <c r="G32" s="15">
        <f>307.6404*E32*F32</f>
        <v>307.6404</v>
      </c>
      <c r="H32" s="15">
        <f>4.70766*E32*F32</f>
        <v>4.70766</v>
      </c>
      <c r="I32" s="15">
        <f>0*E32*F32</f>
        <v>0</v>
      </c>
      <c r="J32" s="15">
        <f>292.8736608*E32*F32</f>
        <v>292.8736608</v>
      </c>
      <c r="K32" s="15">
        <f>63.548280684*E32*F32</f>
        <v>63.548280684</v>
      </c>
      <c r="L32" s="15">
        <f>61.52808*E32*F32</f>
        <v>61.52808</v>
      </c>
      <c r="M32" s="18">
        <f>SUM(G32:L32)</f>
        <v>730.298081484</v>
      </c>
    </row>
    <row r="33" spans="2:13" ht="12">
      <c r="B33" s="8">
        <v>29</v>
      </c>
      <c r="C33" s="13" t="s">
        <v>61</v>
      </c>
      <c r="D33" s="13" t="s">
        <v>62</v>
      </c>
      <c r="E33" s="14">
        <v>0.046</v>
      </c>
      <c r="F33" s="14">
        <v>30</v>
      </c>
      <c r="G33" s="15">
        <f>5126.827266*E33*F33</f>
        <v>7075.02162708</v>
      </c>
      <c r="H33" s="15">
        <f>74.399752*E33*F33</f>
        <v>102.67165776000002</v>
      </c>
      <c r="I33" s="15">
        <f>0*E33*F33</f>
        <v>0</v>
      </c>
      <c r="J33" s="15">
        <f>4880.739557232*E33*F33</f>
        <v>6735.420588980161</v>
      </c>
      <c r="K33" s="15">
        <f>1058.6064903994*E33*F33</f>
        <v>1460.876956751172</v>
      </c>
      <c r="L33" s="15">
        <f>1025.3654532*E33*F33</f>
        <v>1415.004325416</v>
      </c>
      <c r="M33" s="18">
        <f>SUM(G33:L33)</f>
        <v>16788.995155987333</v>
      </c>
    </row>
    <row r="34" spans="2:13" ht="12">
      <c r="B34" s="8">
        <v>30</v>
      </c>
      <c r="C34" s="13" t="s">
        <v>63</v>
      </c>
      <c r="D34" s="13" t="s">
        <v>62</v>
      </c>
      <c r="E34" s="14">
        <v>0.05</v>
      </c>
      <c r="F34" s="14">
        <v>30</v>
      </c>
      <c r="G34" s="15">
        <f>20765.727*E34*F34</f>
        <v>31148.590500000002</v>
      </c>
      <c r="H34" s="15">
        <f>248.30256*E34*F34</f>
        <v>372.45384</v>
      </c>
      <c r="I34" s="15">
        <f>0*E34*F34</f>
        <v>0</v>
      </c>
      <c r="J34" s="15">
        <f>19768.972104*E34*F34</f>
        <v>29653.458156000004</v>
      </c>
      <c r="K34" s="15">
        <f>4282.21517472*E34*F34</f>
        <v>6423.322762079999</v>
      </c>
      <c r="L34" s="15">
        <f>4153.1454*E34*F34</f>
        <v>6229.718100000001</v>
      </c>
      <c r="M34" s="18">
        <f>SUM(G34:L34)</f>
        <v>73827.54335808</v>
      </c>
    </row>
    <row r="35" spans="2:13" ht="12">
      <c r="B35" s="8">
        <v>31</v>
      </c>
      <c r="C35" s="13" t="s">
        <v>64</v>
      </c>
      <c r="D35" s="13" t="s">
        <v>65</v>
      </c>
      <c r="E35" s="14">
        <v>1</v>
      </c>
      <c r="F35" s="14">
        <v>1</v>
      </c>
      <c r="G35" s="15">
        <f>43.57726266*E35*F35</f>
        <v>43.57726266</v>
      </c>
      <c r="H35" s="15">
        <f>707.765154*E35*F35</f>
        <v>707.765154</v>
      </c>
      <c r="I35" s="15">
        <f>0*E35*F35</f>
        <v>0</v>
      </c>
      <c r="J35" s="15">
        <f>41.48555405232*E35*F35</f>
        <v>41.48555405232</v>
      </c>
      <c r="K35" s="15">
        <f>83.246936924794*E35*F35</f>
        <v>83.246936924794</v>
      </c>
      <c r="L35" s="15">
        <f>8.715452532*E35*F35</f>
        <v>8.715452532</v>
      </c>
      <c r="M35" s="18">
        <f>SUM(G35:L35)</f>
        <v>884.790360169114</v>
      </c>
    </row>
    <row r="36" spans="2:13" ht="12">
      <c r="B36" s="8">
        <v>32</v>
      </c>
      <c r="C36" s="13" t="s">
        <v>66</v>
      </c>
      <c r="D36" s="13" t="s">
        <v>67</v>
      </c>
      <c r="E36" s="14">
        <v>1</v>
      </c>
      <c r="F36" s="14">
        <v>1</v>
      </c>
      <c r="G36" s="15">
        <f>461.4606*E36*F36</f>
        <v>461.4606</v>
      </c>
      <c r="H36" s="15">
        <f>0*E36*F36</f>
        <v>0</v>
      </c>
      <c r="I36" s="15">
        <f>0*E36*F36</f>
        <v>0</v>
      </c>
      <c r="J36" s="15">
        <f>439.3104912*E36*F36</f>
        <v>439.3104912</v>
      </c>
      <c r="K36" s="15">
        <f>94.580964576*E36*F36</f>
        <v>94.580964576</v>
      </c>
      <c r="L36" s="15">
        <f>92.29212*E36*F36</f>
        <v>92.29212</v>
      </c>
      <c r="M36" s="18">
        <f>SUM(G36:L36)</f>
        <v>1087.644175776</v>
      </c>
    </row>
    <row r="37" spans="2:13" ht="12">
      <c r="B37" s="8">
        <v>33</v>
      </c>
      <c r="C37" s="13" t="s">
        <v>68</v>
      </c>
      <c r="D37" s="13" t="s">
        <v>69</v>
      </c>
      <c r="E37" s="14">
        <v>0.02</v>
      </c>
      <c r="F37" s="14">
        <v>252</v>
      </c>
      <c r="G37" s="15">
        <f>2031.159176*E37*F37</f>
        <v>10237.042247039999</v>
      </c>
      <c r="H37" s="15">
        <f>0*E37*F37</f>
        <v>0</v>
      </c>
      <c r="I37" s="15">
        <f>5349.243392*E37*F37</f>
        <v>26960.18669568</v>
      </c>
      <c r="J37" s="15">
        <f>1933.663535552*E37*F37</f>
        <v>9745.66421918208</v>
      </c>
      <c r="K37" s="15">
        <f>977.97694087296*E37*F37</f>
        <v>4929.003781999718</v>
      </c>
      <c r="L37" s="15">
        <f>406.2318352*E37*F37</f>
        <v>2047.408449408</v>
      </c>
      <c r="M37" s="18">
        <f>SUM(G37:L37)</f>
        <v>53919.3053933098</v>
      </c>
    </row>
    <row r="38" spans="2:13" ht="12">
      <c r="B38" s="8">
        <v>34</v>
      </c>
      <c r="C38" s="13" t="s">
        <v>70</v>
      </c>
      <c r="D38" s="13" t="s">
        <v>71</v>
      </c>
      <c r="E38" s="14">
        <v>0.02</v>
      </c>
      <c r="F38" s="14">
        <v>252</v>
      </c>
      <c r="G38" s="15">
        <f>22.296719*E38*F38</f>
        <v>112.37546376</v>
      </c>
      <c r="H38" s="15">
        <f>0*E38*F38</f>
        <v>0</v>
      </c>
      <c r="I38" s="15">
        <f>58.720448*E38*F38</f>
        <v>295.95105792000004</v>
      </c>
      <c r="J38" s="15">
        <f>21.226476488*E38*F38</f>
        <v>106.98144149952</v>
      </c>
      <c r="K38" s="15">
        <f>10.73558256624*E38*F38</f>
        <v>54.1073361338496</v>
      </c>
      <c r="L38" s="15">
        <f>4.4593438*E38*F38</f>
        <v>22.475092752</v>
      </c>
      <c r="M38" s="18">
        <f>SUM(G38:L38)</f>
        <v>591.8903920653696</v>
      </c>
    </row>
    <row r="39" spans="2:13" ht="12">
      <c r="B39" s="8">
        <v>35</v>
      </c>
      <c r="C39" s="13" t="s">
        <v>72</v>
      </c>
      <c r="D39" s="13" t="s">
        <v>73</v>
      </c>
      <c r="E39" s="14">
        <v>0.02</v>
      </c>
      <c r="F39" s="14">
        <v>1</v>
      </c>
      <c r="G39" s="15">
        <f>2410.203399*E39*F39</f>
        <v>48.20406798</v>
      </c>
      <c r="H39" s="15">
        <f>0*E39*F39</f>
        <v>0</v>
      </c>
      <c r="I39" s="15">
        <f>5427.9980544*E39*F39</f>
        <v>108.55996108800001</v>
      </c>
      <c r="J39" s="15">
        <f>2294.513635848*E39*F39</f>
        <v>45.89027271696</v>
      </c>
      <c r="K39" s="15">
        <f>1063.935084371*E39*F39</f>
        <v>21.27870168742</v>
      </c>
      <c r="L39" s="15">
        <f>482.0406798*E39*F39</f>
        <v>9.640813596000001</v>
      </c>
      <c r="M39" s="18">
        <f>SUM(G39:L39)</f>
        <v>233.57381706838004</v>
      </c>
    </row>
    <row r="40" spans="2:13" ht="12">
      <c r="B40" s="8">
        <v>36</v>
      </c>
      <c r="C40" s="13" t="s">
        <v>74</v>
      </c>
      <c r="D40" s="13" t="s">
        <v>75</v>
      </c>
      <c r="E40" s="14">
        <v>0.1</v>
      </c>
      <c r="F40" s="14">
        <v>1</v>
      </c>
      <c r="G40" s="15">
        <f>141.692053*E40*F40</f>
        <v>14.1692053</v>
      </c>
      <c r="H40" s="15">
        <f>0*E40*F40</f>
        <v>0</v>
      </c>
      <c r="I40" s="15">
        <f>319.1034368*E40*F40</f>
        <v>31.91034368</v>
      </c>
      <c r="J40" s="15">
        <f>134.890834456*E40*F40</f>
        <v>13.4890834456</v>
      </c>
      <c r="K40" s="15">
        <f>62.54706404688*E40*F40</f>
        <v>6.254706404688001</v>
      </c>
      <c r="L40" s="15">
        <f>28.3384106*E40*F40</f>
        <v>2.83384106</v>
      </c>
      <c r="M40" s="18">
        <f>SUM(G40:L40)</f>
        <v>68.657179890288</v>
      </c>
    </row>
    <row r="41" spans="2:13" ht="12">
      <c r="B41" s="8">
        <v>37</v>
      </c>
      <c r="C41" s="13" t="s">
        <v>76</v>
      </c>
      <c r="D41" s="13" t="s">
        <v>77</v>
      </c>
      <c r="E41" s="14">
        <v>1</v>
      </c>
      <c r="F41" s="14">
        <v>1</v>
      </c>
      <c r="G41" s="15">
        <f>264.603395*E41*F41</f>
        <v>264.603395</v>
      </c>
      <c r="H41" s="15">
        <f>369.616968*E41*F41</f>
        <v>369.616968</v>
      </c>
      <c r="I41" s="15">
        <f>0*E41*F41</f>
        <v>0</v>
      </c>
      <c r="J41" s="15">
        <f>251.90243204*E41*F41</f>
        <v>251.90243204</v>
      </c>
      <c r="K41" s="15">
        <f>93.0428934792*E41*F41</f>
        <v>93.0428934792</v>
      </c>
      <c r="L41" s="15">
        <f>52.920679*E41*F41</f>
        <v>52.920679</v>
      </c>
      <c r="M41" s="18">
        <f>SUM(G41:L41)</f>
        <v>1032.0863675192</v>
      </c>
    </row>
    <row r="42" spans="2:13" ht="12">
      <c r="B42" s="8">
        <v>38</v>
      </c>
      <c r="C42" s="13" t="s">
        <v>78</v>
      </c>
      <c r="D42" s="13" t="s">
        <v>77</v>
      </c>
      <c r="E42" s="14">
        <v>1</v>
      </c>
      <c r="F42" s="14">
        <v>2</v>
      </c>
      <c r="G42" s="15">
        <f>728.115549*E42*F42</f>
        <v>1456.231098</v>
      </c>
      <c r="H42" s="15">
        <f>98.7536*E42*F42</f>
        <v>197.5072</v>
      </c>
      <c r="I42" s="15">
        <f>0*E42*F42</f>
        <v>0</v>
      </c>
      <c r="J42" s="15">
        <f>693.166002648*E42*F42</f>
        <v>1386.332005296</v>
      </c>
      <c r="K42" s="15">
        <f>159.60369092304*E42*F42</f>
        <v>319.20738184608</v>
      </c>
      <c r="L42" s="15">
        <f>145.6231098*E42*F42</f>
        <v>291.2462196</v>
      </c>
      <c r="M42" s="18">
        <f>SUM(G42:L42)</f>
        <v>3650.52390474208</v>
      </c>
    </row>
    <row r="43" spans="2:13" ht="12">
      <c r="B43" s="21" t="s">
        <v>79</v>
      </c>
      <c r="C43" s="22"/>
      <c r="D43" s="22"/>
      <c r="E43" s="22"/>
      <c r="F43" s="22"/>
      <c r="G43" s="23">
        <f>SUM(G5:G42)</f>
        <v>120029.1506504936</v>
      </c>
      <c r="H43" s="23">
        <f>SUM(H5:H42)</f>
        <v>13315.937748432078</v>
      </c>
      <c r="I43" s="23">
        <f>SUM(I5:I42)</f>
        <v>27396.608058368</v>
      </c>
      <c r="J43" s="23">
        <f>SUM(J5:J42)</f>
        <v>114267.75141927012</v>
      </c>
      <c r="K43" s="23">
        <f>SUM(K5:K42)</f>
        <v>28875.99202703904</v>
      </c>
      <c r="L43" s="23">
        <f>SUM(L5:L42)</f>
        <v>24005.830130098722</v>
      </c>
      <c r="M43" s="24">
        <f>SUM(M5:M42)</f>
        <v>327891.2700337016</v>
      </c>
    </row>
    <row r="47" spans="4:11" ht="12">
      <c r="D47" s="6" t="s">
        <v>80</v>
      </c>
      <c r="E47" s="6"/>
      <c r="F47" s="6"/>
      <c r="G47" s="6"/>
      <c r="H47" s="6"/>
      <c r="I47" s="6"/>
      <c r="J47" s="6"/>
      <c r="K47" s="6"/>
    </row>
    <row r="48" spans="4:11" ht="12">
      <c r="D48" s="26" t="s">
        <v>81</v>
      </c>
      <c r="E48" s="25">
        <f>G43</f>
        <v>120029.1506504936</v>
      </c>
      <c r="F48" s="25"/>
      <c r="G48" s="25"/>
      <c r="H48" s="25"/>
      <c r="I48" s="26" t="s">
        <v>82</v>
      </c>
      <c r="J48" s="25">
        <f>J43</f>
        <v>114267.75141927012</v>
      </c>
      <c r="K48" s="25"/>
    </row>
    <row r="49" spans="4:11" ht="12">
      <c r="D49" s="26" t="s">
        <v>83</v>
      </c>
      <c r="E49" s="25">
        <f>H43</f>
        <v>13315.937748432078</v>
      </c>
      <c r="F49" s="25"/>
      <c r="G49" s="25"/>
      <c r="H49" s="25"/>
      <c r="I49" s="26" t="s">
        <v>84</v>
      </c>
      <c r="J49" s="25">
        <f>K43</f>
        <v>28875.99202703904</v>
      </c>
      <c r="K49" s="25"/>
    </row>
    <row r="50" spans="4:11" ht="12">
      <c r="D50" s="26" t="s">
        <v>85</v>
      </c>
      <c r="E50" s="25">
        <f>I43</f>
        <v>27396.608058368</v>
      </c>
      <c r="F50" s="25"/>
      <c r="G50" s="25"/>
      <c r="H50" s="25"/>
      <c r="I50" s="26" t="s">
        <v>86</v>
      </c>
      <c r="J50" s="25">
        <f>L43</f>
        <v>24005.830130098722</v>
      </c>
      <c r="K50" s="25"/>
    </row>
    <row r="51" spans="4:11" ht="12">
      <c r="D51" s="26"/>
      <c r="E51" s="25"/>
      <c r="F51" s="25"/>
      <c r="G51" s="25"/>
      <c r="H51" s="25"/>
      <c r="I51" s="26" t="s">
        <v>87</v>
      </c>
      <c r="J51" s="25">
        <f>M43</f>
        <v>327891.2700337016</v>
      </c>
      <c r="K51" s="25"/>
    </row>
  </sheetData>
  <sheetProtection formatCells="0" formatColumns="0" formatRows="0" insertColumns="0" insertRows="0" insertHyperlinks="0" deleteColumns="0" deleteRows="0" sort="0" autoFilter="0" pivotTables="0"/>
  <mergeCells count="11">
    <mergeCell ref="B1:M1"/>
    <mergeCell ref="B4:M4"/>
    <mergeCell ref="B43:F43"/>
    <mergeCell ref="D47:K47"/>
    <mergeCell ref="E48:F48"/>
    <mergeCell ref="J48:K48"/>
    <mergeCell ref="E49:F49"/>
    <mergeCell ref="J49:K49"/>
    <mergeCell ref="E50:F50"/>
    <mergeCell ref="J50:K50"/>
    <mergeCell ref="J51:K51"/>
  </mergeCells>
  <printOptions/>
  <pageMargins left="0.35" right="0.35" top="0.35" bottom="0.35" header="0.3" footer="0.3"/>
  <pageSetup fitToHeight="0" fitToWidth="1" horizontalDpi="600" verticalDpi="600" orientation="landscape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workbookViewId="0" topLeftCell="A1">
      <selection activeCell="B95" sqref="B95:G95"/>
    </sheetView>
  </sheetViews>
  <sheetFormatPr defaultColWidth="9.140625" defaultRowHeight="12"/>
  <cols>
    <col min="1" max="1" width="0" style="0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1" t="s">
        <v>88</v>
      </c>
      <c r="C1" s="1"/>
      <c r="D1" s="1"/>
      <c r="E1" s="1"/>
      <c r="F1" s="1"/>
      <c r="G1" s="1"/>
    </row>
    <row r="3" spans="1:7" ht="12">
      <c r="A3" s="2"/>
      <c r="B3" s="3" t="s">
        <v>1</v>
      </c>
      <c r="C3" s="3" t="s">
        <v>89</v>
      </c>
      <c r="D3" s="4" t="s">
        <v>90</v>
      </c>
      <c r="E3" s="4" t="s">
        <v>4</v>
      </c>
      <c r="F3" s="4" t="s">
        <v>91</v>
      </c>
      <c r="G3" s="5" t="s">
        <v>12</v>
      </c>
    </row>
    <row r="4" spans="2:7" ht="12">
      <c r="B4" s="27" t="s">
        <v>92</v>
      </c>
      <c r="C4" s="27"/>
      <c r="D4" s="27"/>
      <c r="E4" s="27"/>
      <c r="F4" s="27"/>
      <c r="G4" s="27"/>
    </row>
    <row r="5" spans="2:7" ht="12">
      <c r="B5" s="28">
        <v>1</v>
      </c>
      <c r="C5" s="29" t="s">
        <v>93</v>
      </c>
      <c r="D5" s="29" t="s">
        <v>94</v>
      </c>
      <c r="E5" s="30">
        <v>0.0485</v>
      </c>
      <c r="F5" s="31">
        <v>153.8202</v>
      </c>
      <c r="G5" s="33">
        <f>E5*F5</f>
        <v>7.4602797</v>
      </c>
    </row>
    <row r="6" spans="2:7" ht="12">
      <c r="B6" s="8">
        <v>2</v>
      </c>
      <c r="C6" s="13" t="s">
        <v>95</v>
      </c>
      <c r="D6" s="13" t="s">
        <v>94</v>
      </c>
      <c r="E6" s="32">
        <v>0.097</v>
      </c>
      <c r="F6" s="15">
        <v>166.8703</v>
      </c>
      <c r="G6" s="18">
        <f>E6*F6</f>
        <v>16.1864191</v>
      </c>
    </row>
    <row r="7" spans="2:7" ht="12">
      <c r="B7" s="8">
        <v>3</v>
      </c>
      <c r="C7" s="13" t="s">
        <v>96</v>
      </c>
      <c r="D7" s="13" t="s">
        <v>94</v>
      </c>
      <c r="E7" s="32">
        <v>0.1455</v>
      </c>
      <c r="F7" s="15">
        <v>182.4851</v>
      </c>
      <c r="G7" s="18">
        <f>E7*F7</f>
        <v>26.551582049999997</v>
      </c>
    </row>
    <row r="8" spans="2:7" ht="12">
      <c r="B8" s="8">
        <v>4</v>
      </c>
      <c r="C8" s="13" t="s">
        <v>97</v>
      </c>
      <c r="D8" s="13" t="s">
        <v>94</v>
      </c>
      <c r="E8" s="32">
        <v>0.0485</v>
      </c>
      <c r="F8" s="15">
        <v>205.8043</v>
      </c>
      <c r="G8" s="18">
        <f>E8*F8</f>
        <v>9.981508550000001</v>
      </c>
    </row>
    <row r="9" spans="2:7" ht="12">
      <c r="B9" s="8">
        <v>5</v>
      </c>
      <c r="C9" s="13" t="s">
        <v>98</v>
      </c>
      <c r="D9" s="13" t="s">
        <v>94</v>
      </c>
      <c r="E9" s="32">
        <v>28.95184</v>
      </c>
      <c r="F9" s="15">
        <v>205.8043</v>
      </c>
      <c r="G9" s="18">
        <f>E9*F9</f>
        <v>5958.413164912001</v>
      </c>
    </row>
    <row r="10" spans="2:7" ht="12">
      <c r="B10" s="8">
        <v>6</v>
      </c>
      <c r="C10" s="13" t="s">
        <v>99</v>
      </c>
      <c r="D10" s="13" t="s">
        <v>94</v>
      </c>
      <c r="E10" s="32">
        <v>28.95184</v>
      </c>
      <c r="F10" s="15">
        <v>153.8202</v>
      </c>
      <c r="G10" s="18">
        <f>E10*F10</f>
        <v>4453.377819168</v>
      </c>
    </row>
    <row r="11" spans="2:7" ht="12">
      <c r="B11" s="8">
        <v>7</v>
      </c>
      <c r="C11" s="13" t="s">
        <v>100</v>
      </c>
      <c r="D11" s="13" t="s">
        <v>94</v>
      </c>
      <c r="E11" s="32">
        <v>250.7787</v>
      </c>
      <c r="F11" s="15">
        <v>153.8202</v>
      </c>
      <c r="G11" s="18">
        <f>E11*F11</f>
        <v>38574.82978974</v>
      </c>
    </row>
    <row r="12" spans="2:7" ht="12">
      <c r="B12" s="8">
        <v>8</v>
      </c>
      <c r="C12" s="13" t="s">
        <v>101</v>
      </c>
      <c r="D12" s="13" t="s">
        <v>94</v>
      </c>
      <c r="E12" s="32">
        <v>9.43</v>
      </c>
      <c r="F12" s="15">
        <v>182.4851</v>
      </c>
      <c r="G12" s="18">
        <f>E12*F12</f>
        <v>1720.8344929999998</v>
      </c>
    </row>
    <row r="13" spans="2:7" ht="12">
      <c r="B13" s="8">
        <v>9</v>
      </c>
      <c r="C13" s="13" t="s">
        <v>102</v>
      </c>
      <c r="D13" s="13" t="s">
        <v>94</v>
      </c>
      <c r="E13" s="32">
        <v>1.29</v>
      </c>
      <c r="F13" s="15">
        <v>166.8703</v>
      </c>
      <c r="G13" s="18">
        <f>E13*F13</f>
        <v>215.262687</v>
      </c>
    </row>
    <row r="14" spans="2:7" ht="12">
      <c r="B14" s="8">
        <v>10</v>
      </c>
      <c r="C14" s="13" t="s">
        <v>103</v>
      </c>
      <c r="D14" s="13" t="s">
        <v>94</v>
      </c>
      <c r="E14" s="32">
        <v>1.29</v>
      </c>
      <c r="F14" s="15">
        <v>182.4851</v>
      </c>
      <c r="G14" s="18">
        <f>E14*F14</f>
        <v>235.405779</v>
      </c>
    </row>
    <row r="15" spans="2:7" ht="12">
      <c r="B15" s="8">
        <v>11</v>
      </c>
      <c r="C15" s="13" t="s">
        <v>104</v>
      </c>
      <c r="D15" s="13" t="s">
        <v>94</v>
      </c>
      <c r="E15" s="32">
        <v>0.39</v>
      </c>
      <c r="F15" s="15">
        <v>182.4851</v>
      </c>
      <c r="G15" s="18">
        <f>E15*F15</f>
        <v>71.169189</v>
      </c>
    </row>
    <row r="16" spans="2:7" ht="12">
      <c r="B16" s="8">
        <v>12</v>
      </c>
      <c r="C16" s="13" t="s">
        <v>105</v>
      </c>
      <c r="D16" s="13" t="s">
        <v>94</v>
      </c>
      <c r="E16" s="32">
        <v>3.0485</v>
      </c>
      <c r="F16" s="15">
        <v>153.8202</v>
      </c>
      <c r="G16" s="18">
        <f>E16*F16</f>
        <v>468.92087970000006</v>
      </c>
    </row>
    <row r="17" spans="2:7" ht="12">
      <c r="B17" s="8">
        <v>13</v>
      </c>
      <c r="C17" s="13" t="s">
        <v>106</v>
      </c>
      <c r="D17" s="13" t="s">
        <v>94</v>
      </c>
      <c r="E17" s="32">
        <v>369.11979928</v>
      </c>
      <c r="F17" s="15">
        <v>166.8703</v>
      </c>
      <c r="G17" s="18">
        <f>E17*F17</f>
        <v>61595.13164179338</v>
      </c>
    </row>
    <row r="18" spans="2:7" ht="12">
      <c r="B18" s="8">
        <v>14</v>
      </c>
      <c r="C18" s="13" t="s">
        <v>107</v>
      </c>
      <c r="D18" s="13" t="s">
        <v>108</v>
      </c>
      <c r="E18" s="32">
        <v>0.258</v>
      </c>
      <c r="F18" s="15">
        <v>174.7807</v>
      </c>
      <c r="G18" s="18">
        <f>E18*F18</f>
        <v>45.0934206</v>
      </c>
    </row>
    <row r="19" spans="2:7" ht="12">
      <c r="B19" s="8">
        <v>15</v>
      </c>
      <c r="C19" s="13" t="s">
        <v>109</v>
      </c>
      <c r="D19" s="13" t="s">
        <v>108</v>
      </c>
      <c r="E19" s="32">
        <v>4</v>
      </c>
      <c r="F19" s="15">
        <v>205.8043</v>
      </c>
      <c r="G19" s="18">
        <f>E19*F19</f>
        <v>823.2172</v>
      </c>
    </row>
    <row r="20" spans="2:7" ht="12">
      <c r="B20" s="8">
        <v>16</v>
      </c>
      <c r="C20" s="13" t="s">
        <v>110</v>
      </c>
      <c r="D20" s="13" t="s">
        <v>94</v>
      </c>
      <c r="E20" s="32">
        <v>1.8223</v>
      </c>
      <c r="F20" s="15">
        <v>166.8703</v>
      </c>
      <c r="G20" s="18">
        <f>E20*F20</f>
        <v>304.08774768999996</v>
      </c>
    </row>
    <row r="21" spans="2:7" ht="12">
      <c r="B21" s="8">
        <v>17</v>
      </c>
      <c r="C21" s="13" t="s">
        <v>111</v>
      </c>
      <c r="D21" s="13" t="s">
        <v>94</v>
      </c>
      <c r="E21" s="32">
        <v>6.804</v>
      </c>
      <c r="F21" s="15">
        <v>182.4851</v>
      </c>
      <c r="G21" s="18">
        <f>E21*F21</f>
        <v>1241.6286204</v>
      </c>
    </row>
    <row r="22" spans="2:7" ht="12">
      <c r="B22" s="8">
        <v>18</v>
      </c>
      <c r="C22" s="13" t="s">
        <v>112</v>
      </c>
      <c r="D22" s="13" t="s">
        <v>94</v>
      </c>
      <c r="E22" s="32">
        <v>11.7673</v>
      </c>
      <c r="F22" s="15">
        <v>205.8043</v>
      </c>
      <c r="G22" s="18">
        <f>E22*F22</f>
        <v>2421.76093939</v>
      </c>
    </row>
    <row r="23" spans="2:7" ht="12">
      <c r="B23" s="8">
        <v>19</v>
      </c>
      <c r="C23" s="13" t="s">
        <v>113</v>
      </c>
      <c r="D23" s="13" t="s">
        <v>94</v>
      </c>
      <c r="E23" s="32">
        <v>0.619</v>
      </c>
      <c r="F23" s="15">
        <v>237.2502</v>
      </c>
      <c r="G23" s="18">
        <f>E23*F23</f>
        <v>146.8578738</v>
      </c>
    </row>
    <row r="24" spans="2:7" ht="12">
      <c r="B24" s="8">
        <v>20</v>
      </c>
      <c r="C24" s="13" t="s">
        <v>114</v>
      </c>
      <c r="D24" s="13" t="s">
        <v>94</v>
      </c>
      <c r="E24" s="32">
        <v>0.3335</v>
      </c>
      <c r="F24" s="15">
        <v>166.8703</v>
      </c>
      <c r="G24" s="18">
        <f>E24*F24</f>
        <v>55.65124505</v>
      </c>
    </row>
    <row r="25" spans="2:7" ht="12">
      <c r="B25" s="8">
        <v>21</v>
      </c>
      <c r="C25" s="13" t="s">
        <v>115</v>
      </c>
      <c r="D25" s="13" t="s">
        <v>94</v>
      </c>
      <c r="E25" s="32">
        <v>0.3335</v>
      </c>
      <c r="F25" s="15">
        <v>182.4851</v>
      </c>
      <c r="G25" s="18">
        <f>E25*F25</f>
        <v>60.85878085</v>
      </c>
    </row>
    <row r="26" spans="2:7" ht="12">
      <c r="B26" s="8">
        <v>22</v>
      </c>
      <c r="C26" s="13" t="s">
        <v>116</v>
      </c>
      <c r="D26" s="13" t="s">
        <v>94</v>
      </c>
      <c r="E26" s="32">
        <v>0.75</v>
      </c>
      <c r="F26" s="15">
        <v>166.8703</v>
      </c>
      <c r="G26" s="18">
        <f>E26*F26</f>
        <v>125.15272499999999</v>
      </c>
    </row>
    <row r="27" spans="2:7" ht="12">
      <c r="B27" s="8">
        <v>23</v>
      </c>
      <c r="C27" s="13" t="s">
        <v>117</v>
      </c>
      <c r="D27" s="13" t="s">
        <v>94</v>
      </c>
      <c r="E27" s="32">
        <v>0.75</v>
      </c>
      <c r="F27" s="15">
        <v>205.8043</v>
      </c>
      <c r="G27" s="18">
        <f>E27*F27</f>
        <v>154.353225</v>
      </c>
    </row>
    <row r="28" spans="2:7" ht="12">
      <c r="B28" s="8">
        <v>24</v>
      </c>
      <c r="C28" s="13" t="s">
        <v>118</v>
      </c>
      <c r="D28" s="13" t="s">
        <v>119</v>
      </c>
      <c r="E28" s="32">
        <v>1.98</v>
      </c>
      <c r="F28" s="15">
        <v>237.2502</v>
      </c>
      <c r="G28" s="18">
        <f>E28*F28</f>
        <v>469.755396</v>
      </c>
    </row>
    <row r="29" spans="2:7" ht="12">
      <c r="B29" s="8">
        <v>25</v>
      </c>
      <c r="C29" s="13" t="s">
        <v>120</v>
      </c>
      <c r="D29" s="13" t="s">
        <v>94</v>
      </c>
      <c r="E29" s="32">
        <v>2.3</v>
      </c>
      <c r="F29" s="15">
        <v>182.4851</v>
      </c>
      <c r="G29" s="18">
        <f>E29*F29</f>
        <v>419.71572999999995</v>
      </c>
    </row>
    <row r="30" spans="2:7" ht="12">
      <c r="B30" s="8">
        <v>26</v>
      </c>
      <c r="C30" s="13" t="s">
        <v>121</v>
      </c>
      <c r="D30" s="13" t="s">
        <v>94</v>
      </c>
      <c r="E30" s="32">
        <v>1.98</v>
      </c>
      <c r="F30" s="15">
        <v>205.8043</v>
      </c>
      <c r="G30" s="18">
        <f>E30*F30</f>
        <v>407.492514</v>
      </c>
    </row>
    <row r="31" spans="2:7" ht="12">
      <c r="B31" s="9" t="s">
        <v>79</v>
      </c>
      <c r="C31" s="16"/>
      <c r="D31" s="16"/>
      <c r="E31" s="16"/>
      <c r="F31" s="34"/>
      <c r="G31" s="19">
        <f>SUM(G5:G30)</f>
        <v>120029.1506504934</v>
      </c>
    </row>
    <row r="32" spans="2:7" ht="12">
      <c r="B32" s="27" t="s">
        <v>122</v>
      </c>
      <c r="C32" s="27"/>
      <c r="D32" s="27"/>
      <c r="E32" s="27"/>
      <c r="F32" s="27"/>
      <c r="G32" s="27"/>
    </row>
    <row r="33" spans="2:7" ht="12">
      <c r="B33" s="28">
        <v>27</v>
      </c>
      <c r="C33" s="29" t="s">
        <v>123</v>
      </c>
      <c r="D33" s="29" t="s">
        <v>124</v>
      </c>
      <c r="E33" s="30">
        <v>0.155</v>
      </c>
      <c r="F33" s="31">
        <v>8.2584</v>
      </c>
      <c r="G33" s="33">
        <f>E33*F33</f>
        <v>1.280052</v>
      </c>
    </row>
    <row r="34" spans="2:7" ht="12">
      <c r="B34" s="8">
        <v>28</v>
      </c>
      <c r="C34" s="13" t="s">
        <v>125</v>
      </c>
      <c r="D34" s="13" t="s">
        <v>126</v>
      </c>
      <c r="E34" s="32">
        <v>0.44</v>
      </c>
      <c r="F34" s="15">
        <v>31.7316</v>
      </c>
      <c r="G34" s="18">
        <f>E34*F34</f>
        <v>13.961904</v>
      </c>
    </row>
    <row r="35" spans="2:7" ht="12">
      <c r="B35" s="8">
        <v>29</v>
      </c>
      <c r="C35" s="13" t="s">
        <v>127</v>
      </c>
      <c r="D35" s="13" t="s">
        <v>126</v>
      </c>
      <c r="E35" s="32">
        <v>0.22</v>
      </c>
      <c r="F35" s="15">
        <v>116.9692</v>
      </c>
      <c r="G35" s="18">
        <f>E35*F35</f>
        <v>25.733224</v>
      </c>
    </row>
    <row r="36" spans="2:7" ht="12">
      <c r="B36" s="8">
        <v>30</v>
      </c>
      <c r="C36" s="13" t="s">
        <v>128</v>
      </c>
      <c r="D36" s="13" t="s">
        <v>129</v>
      </c>
      <c r="E36" s="32">
        <v>0.13275</v>
      </c>
      <c r="F36" s="15">
        <v>2711.1608</v>
      </c>
      <c r="G36" s="18">
        <f>E36*F36</f>
        <v>359.9065962</v>
      </c>
    </row>
    <row r="37" spans="2:7" ht="12">
      <c r="B37" s="8">
        <v>31</v>
      </c>
      <c r="C37" s="13" t="s">
        <v>130</v>
      </c>
      <c r="D37" s="13" t="s">
        <v>129</v>
      </c>
      <c r="E37" s="32">
        <v>0.00032</v>
      </c>
      <c r="F37" s="15">
        <v>14663.62</v>
      </c>
      <c r="G37" s="18">
        <f>E37*F37</f>
        <v>4.692358400000001</v>
      </c>
    </row>
    <row r="38" spans="2:7" ht="12">
      <c r="B38" s="8">
        <v>32</v>
      </c>
      <c r="C38" s="13" t="s">
        <v>131</v>
      </c>
      <c r="D38" s="13" t="s">
        <v>126</v>
      </c>
      <c r="E38" s="32">
        <v>6</v>
      </c>
      <c r="F38" s="15">
        <v>118.048</v>
      </c>
      <c r="G38" s="18">
        <f>E38*F38</f>
        <v>708.288</v>
      </c>
    </row>
    <row r="39" spans="2:7" ht="12">
      <c r="B39" s="8">
        <v>33</v>
      </c>
      <c r="C39" s="13" t="s">
        <v>132</v>
      </c>
      <c r="D39" s="13" t="s">
        <v>126</v>
      </c>
      <c r="E39" s="32">
        <v>6</v>
      </c>
      <c r="F39" s="15">
        <v>229.1768</v>
      </c>
      <c r="G39" s="18">
        <f>E39*F39</f>
        <v>1375.0608</v>
      </c>
    </row>
    <row r="40" spans="2:7" ht="12">
      <c r="B40" s="8">
        <v>34</v>
      </c>
      <c r="C40" s="13" t="s">
        <v>133</v>
      </c>
      <c r="D40" s="13" t="s">
        <v>126</v>
      </c>
      <c r="E40" s="32">
        <v>1</v>
      </c>
      <c r="F40" s="15">
        <v>507.532</v>
      </c>
      <c r="G40" s="18">
        <f>E40*F40</f>
        <v>507.532</v>
      </c>
    </row>
    <row r="41" spans="2:7" ht="12">
      <c r="B41" s="8">
        <v>35</v>
      </c>
      <c r="C41" s="13" t="s">
        <v>134</v>
      </c>
      <c r="D41" s="13" t="s">
        <v>124</v>
      </c>
      <c r="E41" s="32">
        <v>0.375</v>
      </c>
      <c r="F41" s="15">
        <v>21.6132</v>
      </c>
      <c r="G41" s="18">
        <f>E41*F41</f>
        <v>8.104949999999999</v>
      </c>
    </row>
    <row r="42" spans="2:7" ht="12">
      <c r="B42" s="8">
        <v>36</v>
      </c>
      <c r="C42" s="13" t="s">
        <v>135</v>
      </c>
      <c r="D42" s="13" t="s">
        <v>136</v>
      </c>
      <c r="E42" s="32">
        <v>39.76</v>
      </c>
      <c r="F42" s="15">
        <v>20.732799999999997</v>
      </c>
      <c r="G42" s="18">
        <f>E42*F42</f>
        <v>824.3361279999998</v>
      </c>
    </row>
    <row r="43" spans="2:7" ht="12">
      <c r="B43" s="8">
        <v>37</v>
      </c>
      <c r="C43" s="13" t="s">
        <v>137</v>
      </c>
      <c r="D43" s="13" t="s">
        <v>124</v>
      </c>
      <c r="E43" s="32">
        <v>0.833</v>
      </c>
      <c r="F43" s="15">
        <v>236.84</v>
      </c>
      <c r="G43" s="18">
        <f>E43*F43</f>
        <v>197.28772</v>
      </c>
    </row>
    <row r="44" spans="2:7" ht="12">
      <c r="B44" s="8">
        <v>38</v>
      </c>
      <c r="C44" s="13" t="s">
        <v>138</v>
      </c>
      <c r="D44" s="13" t="s">
        <v>124</v>
      </c>
      <c r="E44" s="32">
        <v>3.62</v>
      </c>
      <c r="F44" s="15">
        <v>54.56</v>
      </c>
      <c r="G44" s="18">
        <f>E44*F44</f>
        <v>197.5072</v>
      </c>
    </row>
    <row r="45" spans="2:7" ht="12">
      <c r="B45" s="8">
        <v>39</v>
      </c>
      <c r="C45" s="13" t="s">
        <v>139</v>
      </c>
      <c r="D45" s="13" t="s">
        <v>129</v>
      </c>
      <c r="E45" s="32">
        <v>7E-06</v>
      </c>
      <c r="F45" s="15">
        <v>81581.3484</v>
      </c>
      <c r="G45" s="18">
        <f>E45*F45</f>
        <v>0.5710694388</v>
      </c>
    </row>
    <row r="46" spans="2:7" ht="12">
      <c r="B46" s="8">
        <v>40</v>
      </c>
      <c r="C46" s="13" t="s">
        <v>140</v>
      </c>
      <c r="D46" s="13" t="s">
        <v>124</v>
      </c>
      <c r="E46" s="32">
        <v>0.6206</v>
      </c>
      <c r="F46" s="15">
        <v>292.3176</v>
      </c>
      <c r="G46" s="18">
        <f>E46*F46</f>
        <v>181.41230256000003</v>
      </c>
    </row>
    <row r="47" spans="2:7" ht="12">
      <c r="B47" s="8">
        <v>41</v>
      </c>
      <c r="C47" s="13" t="s">
        <v>141</v>
      </c>
      <c r="D47" s="13" t="s">
        <v>124</v>
      </c>
      <c r="E47" s="32">
        <v>0.7714</v>
      </c>
      <c r="F47" s="15">
        <v>42.904</v>
      </c>
      <c r="G47" s="18">
        <f>E47*F47</f>
        <v>33.0961456</v>
      </c>
    </row>
    <row r="48" spans="2:7" ht="12">
      <c r="B48" s="8">
        <v>42</v>
      </c>
      <c r="C48" s="13" t="s">
        <v>142</v>
      </c>
      <c r="D48" s="13" t="s">
        <v>129</v>
      </c>
      <c r="E48" s="32">
        <v>0.0004437</v>
      </c>
      <c r="F48" s="15">
        <v>29033.9924</v>
      </c>
      <c r="G48" s="18">
        <f>E48*F48</f>
        <v>12.88238242788</v>
      </c>
    </row>
    <row r="49" spans="2:7" ht="12">
      <c r="B49" s="8">
        <v>43</v>
      </c>
      <c r="C49" s="13" t="s">
        <v>143</v>
      </c>
      <c r="D49" s="13" t="s">
        <v>124</v>
      </c>
      <c r="E49" s="32">
        <v>0.208</v>
      </c>
      <c r="F49" s="15">
        <v>828.506</v>
      </c>
      <c r="G49" s="18">
        <f>E49*F49</f>
        <v>172.32924799999998</v>
      </c>
    </row>
    <row r="50" spans="2:7" ht="12">
      <c r="B50" s="8">
        <v>44</v>
      </c>
      <c r="C50" s="13" t="s">
        <v>144</v>
      </c>
      <c r="D50" s="13" t="s">
        <v>129</v>
      </c>
      <c r="E50" s="32">
        <v>0.000271</v>
      </c>
      <c r="F50" s="15">
        <v>41925.6524</v>
      </c>
      <c r="G50" s="18">
        <f>E50*F50</f>
        <v>11.361851800399998</v>
      </c>
    </row>
    <row r="51" spans="2:7" ht="12">
      <c r="B51" s="8">
        <v>45</v>
      </c>
      <c r="C51" s="13" t="s">
        <v>145</v>
      </c>
      <c r="D51" s="13" t="s">
        <v>124</v>
      </c>
      <c r="E51" s="32">
        <v>0.7295</v>
      </c>
      <c r="F51" s="15">
        <v>47.9508</v>
      </c>
      <c r="G51" s="18">
        <f>E51*F51</f>
        <v>34.9801086</v>
      </c>
    </row>
    <row r="52" spans="2:7" ht="12">
      <c r="B52" s="8">
        <v>46</v>
      </c>
      <c r="C52" s="13" t="s">
        <v>146</v>
      </c>
      <c r="D52" s="13" t="s">
        <v>124</v>
      </c>
      <c r="E52" s="32">
        <v>0.095</v>
      </c>
      <c r="F52" s="15">
        <v>61.6652</v>
      </c>
      <c r="G52" s="18">
        <f>E52*F52</f>
        <v>5.858194</v>
      </c>
    </row>
    <row r="53" spans="2:7" ht="12">
      <c r="B53" s="8">
        <v>47</v>
      </c>
      <c r="C53" s="13" t="s">
        <v>147</v>
      </c>
      <c r="D53" s="13" t="s">
        <v>129</v>
      </c>
      <c r="E53" s="32">
        <v>0.00068</v>
      </c>
      <c r="F53" s="15">
        <v>32552.7776</v>
      </c>
      <c r="G53" s="18">
        <f>E53*F53</f>
        <v>22.135888768</v>
      </c>
    </row>
    <row r="54" spans="2:7" ht="12">
      <c r="B54" s="8">
        <v>48</v>
      </c>
      <c r="C54" s="13" t="s">
        <v>148</v>
      </c>
      <c r="D54" s="13" t="s">
        <v>129</v>
      </c>
      <c r="E54" s="32">
        <v>0.0004466</v>
      </c>
      <c r="F54" s="15">
        <v>30127.5112</v>
      </c>
      <c r="G54" s="18">
        <f>E54*F54</f>
        <v>13.45494650192</v>
      </c>
    </row>
    <row r="55" spans="2:7" ht="12">
      <c r="B55" s="8">
        <v>49</v>
      </c>
      <c r="C55" s="13" t="s">
        <v>149</v>
      </c>
      <c r="D55" s="13" t="s">
        <v>136</v>
      </c>
      <c r="E55" s="32">
        <v>0.00133</v>
      </c>
      <c r="F55" s="15">
        <v>2434.2688</v>
      </c>
      <c r="G55" s="18">
        <f>E55*F55</f>
        <v>3.237577504</v>
      </c>
    </row>
    <row r="56" spans="2:7" ht="12">
      <c r="B56" s="8">
        <v>50</v>
      </c>
      <c r="C56" s="13" t="s">
        <v>150</v>
      </c>
      <c r="D56" s="13" t="s">
        <v>126</v>
      </c>
      <c r="E56" s="32">
        <v>0.4</v>
      </c>
      <c r="F56" s="15">
        <v>3.5711999999999997</v>
      </c>
      <c r="G56" s="18">
        <f>E56*F56</f>
        <v>1.42848</v>
      </c>
    </row>
    <row r="57" spans="2:7" ht="12">
      <c r="B57" s="8">
        <v>51</v>
      </c>
      <c r="C57" s="13" t="s">
        <v>151</v>
      </c>
      <c r="D57" s="13" t="s">
        <v>124</v>
      </c>
      <c r="E57" s="32">
        <v>5.2</v>
      </c>
      <c r="F57" s="15">
        <v>179.8</v>
      </c>
      <c r="G57" s="18">
        <f>E57*F57</f>
        <v>934.96</v>
      </c>
    </row>
    <row r="58" spans="2:7" ht="12">
      <c r="B58" s="8">
        <v>52</v>
      </c>
      <c r="C58" s="13" t="s">
        <v>152</v>
      </c>
      <c r="D58" s="13" t="s">
        <v>124</v>
      </c>
      <c r="E58" s="32">
        <v>0.774</v>
      </c>
      <c r="F58" s="15">
        <v>36.146</v>
      </c>
      <c r="G58" s="18">
        <f>E58*F58</f>
        <v>27.977004</v>
      </c>
    </row>
    <row r="59" spans="2:7" ht="12">
      <c r="B59" s="8">
        <v>53</v>
      </c>
      <c r="C59" s="13" t="s">
        <v>153</v>
      </c>
      <c r="D59" s="13" t="s">
        <v>129</v>
      </c>
      <c r="E59" s="32">
        <v>0.000132</v>
      </c>
      <c r="F59" s="15">
        <v>37832.4</v>
      </c>
      <c r="G59" s="18">
        <f>E59*F59</f>
        <v>4.993876800000001</v>
      </c>
    </row>
    <row r="60" spans="2:7" ht="12">
      <c r="B60" s="8">
        <v>54</v>
      </c>
      <c r="C60" s="13" t="s">
        <v>154</v>
      </c>
      <c r="D60" s="13" t="s">
        <v>124</v>
      </c>
      <c r="E60" s="32">
        <v>0.0205</v>
      </c>
      <c r="F60" s="15">
        <v>112.0464</v>
      </c>
      <c r="G60" s="18">
        <f>E60*F60</f>
        <v>2.2969512</v>
      </c>
    </row>
    <row r="61" spans="2:7" ht="12">
      <c r="B61" s="8">
        <v>55</v>
      </c>
      <c r="C61" s="13" t="s">
        <v>155</v>
      </c>
      <c r="D61" s="13" t="s">
        <v>124</v>
      </c>
      <c r="E61" s="32">
        <v>0.152</v>
      </c>
      <c r="F61" s="15">
        <v>61.6652</v>
      </c>
      <c r="G61" s="18">
        <f>E61*F61</f>
        <v>9.3731104</v>
      </c>
    </row>
    <row r="62" spans="2:7" ht="12">
      <c r="B62" s="8">
        <v>56</v>
      </c>
      <c r="C62" s="13" t="s">
        <v>156</v>
      </c>
      <c r="D62" s="13" t="s">
        <v>129</v>
      </c>
      <c r="E62" s="32">
        <v>0.015</v>
      </c>
      <c r="F62" s="15">
        <v>47184.3436</v>
      </c>
      <c r="G62" s="18">
        <f>E62*F62</f>
        <v>707.7651539999999</v>
      </c>
    </row>
    <row r="63" spans="2:7" ht="12">
      <c r="B63" s="8">
        <v>57</v>
      </c>
      <c r="C63" s="13" t="s">
        <v>157</v>
      </c>
      <c r="D63" s="13" t="s">
        <v>129</v>
      </c>
      <c r="E63" s="32">
        <v>3.77E-06</v>
      </c>
      <c r="F63" s="15">
        <v>44785.551199999994</v>
      </c>
      <c r="G63" s="18">
        <f>E63*F63</f>
        <v>0.168841528024</v>
      </c>
    </row>
    <row r="64" spans="2:7" ht="12">
      <c r="B64" s="8">
        <v>58</v>
      </c>
      <c r="C64" s="13" t="s">
        <v>158</v>
      </c>
      <c r="D64" s="13" t="s">
        <v>136</v>
      </c>
      <c r="E64" s="32">
        <v>0.022</v>
      </c>
      <c r="F64" s="15">
        <v>3390.3956</v>
      </c>
      <c r="G64" s="18">
        <f>E64*F64</f>
        <v>74.5887032</v>
      </c>
    </row>
    <row r="65" spans="2:7" ht="12">
      <c r="B65" s="8">
        <v>59</v>
      </c>
      <c r="C65" s="13" t="s">
        <v>159</v>
      </c>
      <c r="D65" s="13" t="s">
        <v>136</v>
      </c>
      <c r="E65" s="32">
        <v>0.00026</v>
      </c>
      <c r="F65" s="15">
        <v>3409.69</v>
      </c>
      <c r="G65" s="18">
        <f>E65*F65</f>
        <v>0.8865194</v>
      </c>
    </row>
    <row r="66" spans="2:7" ht="12">
      <c r="B66" s="8">
        <v>60</v>
      </c>
      <c r="C66" s="13" t="s">
        <v>160</v>
      </c>
      <c r="D66" s="13" t="s">
        <v>136</v>
      </c>
      <c r="E66" s="32">
        <v>0.0068</v>
      </c>
      <c r="F66" s="15">
        <v>3039.0912000000003</v>
      </c>
      <c r="G66" s="18">
        <f>E66*F66</f>
        <v>20.66582016</v>
      </c>
    </row>
    <row r="67" spans="2:7" ht="12">
      <c r="B67" s="8">
        <v>61</v>
      </c>
      <c r="C67" s="13" t="s">
        <v>161</v>
      </c>
      <c r="D67" s="13" t="s">
        <v>126</v>
      </c>
      <c r="E67" s="32">
        <v>5</v>
      </c>
      <c r="F67" s="15">
        <v>611.7912</v>
      </c>
      <c r="G67" s="18">
        <f>E67*F67</f>
        <v>3058.956</v>
      </c>
    </row>
    <row r="68" spans="2:7" ht="12">
      <c r="B68" s="8">
        <v>62</v>
      </c>
      <c r="C68" s="13" t="s">
        <v>162</v>
      </c>
      <c r="D68" s="13" t="s">
        <v>126</v>
      </c>
      <c r="E68" s="32">
        <v>5</v>
      </c>
      <c r="F68" s="15">
        <v>284.1956</v>
      </c>
      <c r="G68" s="18">
        <f>E68*F68</f>
        <v>1420.978</v>
      </c>
    </row>
    <row r="69" spans="2:7" ht="12">
      <c r="B69" s="8">
        <v>63</v>
      </c>
      <c r="C69" s="13" t="s">
        <v>163</v>
      </c>
      <c r="D69" s="13" t="s">
        <v>126</v>
      </c>
      <c r="E69" s="32">
        <v>10</v>
      </c>
      <c r="F69" s="15">
        <v>22.0472</v>
      </c>
      <c r="G69" s="18">
        <f>E69*F69</f>
        <v>220.472</v>
      </c>
    </row>
    <row r="70" spans="2:7" ht="12">
      <c r="B70" s="8">
        <v>64</v>
      </c>
      <c r="C70" s="13" t="s">
        <v>164</v>
      </c>
      <c r="D70" s="13" t="s">
        <v>124</v>
      </c>
      <c r="E70" s="32">
        <v>0.026</v>
      </c>
      <c r="F70" s="15">
        <v>39.4692</v>
      </c>
      <c r="G70" s="18">
        <f>E70*F70</f>
        <v>1.0261992</v>
      </c>
    </row>
    <row r="71" spans="2:7" ht="12">
      <c r="B71" s="8">
        <v>65</v>
      </c>
      <c r="C71" s="13" t="s">
        <v>165</v>
      </c>
      <c r="D71" s="13" t="s">
        <v>166</v>
      </c>
      <c r="E71" s="32">
        <v>0.49783333</v>
      </c>
      <c r="F71" s="15">
        <v>198.4</v>
      </c>
      <c r="G71" s="18">
        <f>E71*F71</f>
        <v>98.770132672</v>
      </c>
    </row>
    <row r="72" spans="2:7" ht="12">
      <c r="B72" s="8">
        <v>66</v>
      </c>
      <c r="C72" s="13" t="s">
        <v>167</v>
      </c>
      <c r="D72" s="13" t="s">
        <v>129</v>
      </c>
      <c r="E72" s="32">
        <v>1.32E-05</v>
      </c>
      <c r="F72" s="15">
        <v>110114.9884</v>
      </c>
      <c r="G72" s="18">
        <f>E72*F72</f>
        <v>1.45351784688</v>
      </c>
    </row>
    <row r="73" spans="2:7" ht="12">
      <c r="B73" s="8">
        <v>67</v>
      </c>
      <c r="C73" s="13" t="s">
        <v>168</v>
      </c>
      <c r="D73" s="13" t="s">
        <v>169</v>
      </c>
      <c r="E73" s="32">
        <v>1.278</v>
      </c>
      <c r="F73" s="15">
        <v>281.7032</v>
      </c>
      <c r="G73" s="18">
        <f>E73*F73</f>
        <v>360.0166896</v>
      </c>
    </row>
    <row r="74" spans="2:7" ht="12">
      <c r="B74" s="8">
        <v>68</v>
      </c>
      <c r="C74" s="13" t="s">
        <v>170</v>
      </c>
      <c r="D74" s="13" t="s">
        <v>171</v>
      </c>
      <c r="E74" s="32">
        <v>1.996</v>
      </c>
      <c r="F74" s="15">
        <v>108.4008</v>
      </c>
      <c r="G74" s="18">
        <f>E74*F74</f>
        <v>216.36799680000001</v>
      </c>
    </row>
    <row r="75" spans="2:7" ht="12">
      <c r="B75" s="8">
        <v>69</v>
      </c>
      <c r="C75" s="13" t="s">
        <v>172</v>
      </c>
      <c r="D75" s="13" t="s">
        <v>171</v>
      </c>
      <c r="E75" s="32">
        <v>2</v>
      </c>
      <c r="F75" s="15">
        <v>144.0632</v>
      </c>
      <c r="G75" s="18">
        <f>E75*F75</f>
        <v>288.1264</v>
      </c>
    </row>
    <row r="76" spans="2:7" ht="12">
      <c r="B76" s="8">
        <v>70</v>
      </c>
      <c r="C76" s="13" t="s">
        <v>173</v>
      </c>
      <c r="D76" s="13" t="s">
        <v>171</v>
      </c>
      <c r="E76" s="32">
        <v>1</v>
      </c>
      <c r="F76" s="15">
        <v>524.6812</v>
      </c>
      <c r="G76" s="18">
        <f>E76*F76</f>
        <v>524.6812</v>
      </c>
    </row>
    <row r="77" spans="2:7" ht="12">
      <c r="B77" s="9" t="s">
        <v>79</v>
      </c>
      <c r="C77" s="16"/>
      <c r="D77" s="16"/>
      <c r="E77" s="16"/>
      <c r="F77" s="34"/>
      <c r="G77" s="19">
        <f>SUM(G33:G76)</f>
        <v>12690.963244607901</v>
      </c>
    </row>
    <row r="78" spans="2:7" ht="12">
      <c r="B78" s="27" t="s">
        <v>174</v>
      </c>
      <c r="C78" s="27"/>
      <c r="D78" s="27"/>
      <c r="E78" s="27"/>
      <c r="F78" s="27"/>
      <c r="G78" s="27"/>
    </row>
    <row r="79" spans="2:7" ht="12">
      <c r="B79" s="28">
        <v>71</v>
      </c>
      <c r="C79" s="29" t="s">
        <v>175</v>
      </c>
      <c r="D79" s="29" t="s">
        <v>126</v>
      </c>
      <c r="E79" s="30">
        <v>0.18403994</v>
      </c>
      <c r="F79" s="31">
        <v>103.3044</v>
      </c>
      <c r="G79" s="33">
        <f>E79*F79</f>
        <v>19.012135577736</v>
      </c>
    </row>
    <row r="80" spans="2:7" ht="12">
      <c r="B80" s="8">
        <v>72</v>
      </c>
      <c r="C80" s="13" t="s">
        <v>176</v>
      </c>
      <c r="D80" s="13" t="s">
        <v>126</v>
      </c>
      <c r="E80" s="32">
        <v>1.93878837</v>
      </c>
      <c r="F80" s="15">
        <v>58.9744</v>
      </c>
      <c r="G80" s="18">
        <f>E80*F80</f>
        <v>114.338880847728</v>
      </c>
    </row>
    <row r="81" spans="2:7" ht="12">
      <c r="B81" s="8">
        <v>73</v>
      </c>
      <c r="C81" s="13" t="s">
        <v>177</v>
      </c>
      <c r="D81" s="13" t="s">
        <v>126</v>
      </c>
      <c r="E81" s="32">
        <v>0.15</v>
      </c>
      <c r="F81" s="15">
        <v>246.0656</v>
      </c>
      <c r="G81" s="18">
        <f>E81*F81</f>
        <v>36.909839999999996</v>
      </c>
    </row>
    <row r="82" spans="2:7" ht="12">
      <c r="B82" s="8">
        <v>74</v>
      </c>
      <c r="C82" s="13" t="s">
        <v>178</v>
      </c>
      <c r="D82" s="13" t="s">
        <v>126</v>
      </c>
      <c r="E82" s="32">
        <v>0.0276</v>
      </c>
      <c r="F82" s="15">
        <v>260.4</v>
      </c>
      <c r="G82" s="18">
        <f>E82*F82</f>
        <v>7.18704</v>
      </c>
    </row>
    <row r="83" spans="2:7" ht="12">
      <c r="B83" s="8">
        <v>75</v>
      </c>
      <c r="C83" s="13" t="s">
        <v>179</v>
      </c>
      <c r="D83" s="13" t="s">
        <v>126</v>
      </c>
      <c r="E83" s="32">
        <v>1.43</v>
      </c>
      <c r="F83" s="15">
        <v>65.5836</v>
      </c>
      <c r="G83" s="18">
        <f>E83*F83</f>
        <v>93.784548</v>
      </c>
    </row>
    <row r="84" spans="2:7" ht="12">
      <c r="B84" s="8">
        <v>76</v>
      </c>
      <c r="C84" s="13" t="s">
        <v>180</v>
      </c>
      <c r="D84" s="13" t="s">
        <v>126</v>
      </c>
      <c r="E84" s="32">
        <v>0.0276</v>
      </c>
      <c r="F84" s="15">
        <v>180.4076</v>
      </c>
      <c r="G84" s="18">
        <f>E84*F84</f>
        <v>4.97924976</v>
      </c>
    </row>
    <row r="85" spans="2:7" ht="12">
      <c r="B85" s="8">
        <v>77</v>
      </c>
      <c r="C85" s="13" t="s">
        <v>181</v>
      </c>
      <c r="D85" s="13" t="s">
        <v>126</v>
      </c>
      <c r="E85" s="32">
        <v>0.08078326</v>
      </c>
      <c r="F85" s="15">
        <v>101.67999999999999</v>
      </c>
      <c r="G85" s="18">
        <f>E85*F85</f>
        <v>8.2140418768</v>
      </c>
    </row>
    <row r="86" spans="2:7" ht="12">
      <c r="B86" s="8">
        <v>78</v>
      </c>
      <c r="C86" s="13" t="s">
        <v>182</v>
      </c>
      <c r="D86" s="13" t="s">
        <v>126</v>
      </c>
      <c r="E86" s="32">
        <v>0.15</v>
      </c>
      <c r="F86" s="15">
        <v>2236.96</v>
      </c>
      <c r="G86" s="18">
        <f>E86*F86</f>
        <v>335.544</v>
      </c>
    </row>
    <row r="87" spans="2:7" ht="12">
      <c r="B87" s="8">
        <v>79</v>
      </c>
      <c r="C87" s="13" t="s">
        <v>183</v>
      </c>
      <c r="D87" s="13" t="s">
        <v>126</v>
      </c>
      <c r="E87" s="32">
        <v>0.02221384</v>
      </c>
      <c r="F87" s="15">
        <v>49.6</v>
      </c>
      <c r="G87" s="18">
        <f>E87*F87</f>
        <v>1.101806464</v>
      </c>
    </row>
    <row r="88" spans="2:7" ht="12">
      <c r="B88" s="8">
        <v>80</v>
      </c>
      <c r="C88" s="13" t="s">
        <v>184</v>
      </c>
      <c r="D88" s="13" t="s">
        <v>126</v>
      </c>
      <c r="E88" s="32">
        <v>0.02476435</v>
      </c>
      <c r="F88" s="15">
        <v>157.60399999999998</v>
      </c>
      <c r="G88" s="18">
        <f>E88*F88</f>
        <v>3.9029606173999998</v>
      </c>
    </row>
    <row r="89" spans="2:7" ht="12">
      <c r="B89" s="9" t="s">
        <v>79</v>
      </c>
      <c r="C89" s="16"/>
      <c r="D89" s="16"/>
      <c r="E89" s="16"/>
      <c r="F89" s="34"/>
      <c r="G89" s="19">
        <f>SUM(G79:G88)</f>
        <v>624.974503143664</v>
      </c>
    </row>
    <row r="90" spans="2:7" ht="12">
      <c r="B90" s="27" t="s">
        <v>185</v>
      </c>
      <c r="C90" s="27"/>
      <c r="D90" s="27"/>
      <c r="E90" s="27"/>
      <c r="F90" s="27"/>
      <c r="G90" s="27"/>
    </row>
    <row r="91" spans="2:7" ht="12">
      <c r="B91" s="28">
        <v>81</v>
      </c>
      <c r="C91" s="29" t="s">
        <v>186</v>
      </c>
      <c r="D91" s="29" t="s">
        <v>187</v>
      </c>
      <c r="E91" s="30">
        <v>28.46592</v>
      </c>
      <c r="F91" s="31">
        <v>947.104</v>
      </c>
      <c r="G91" s="33">
        <f>E91*F91</f>
        <v>26960.18669568</v>
      </c>
    </row>
    <row r="92" spans="2:7" ht="12">
      <c r="B92" s="8">
        <v>82</v>
      </c>
      <c r="C92" s="13" t="s">
        <v>188</v>
      </c>
      <c r="D92" s="13" t="s">
        <v>187</v>
      </c>
      <c r="E92" s="32">
        <v>0.13404</v>
      </c>
      <c r="F92" s="15">
        <v>809.9072</v>
      </c>
      <c r="G92" s="18">
        <f>E92*F92</f>
        <v>108.559961088</v>
      </c>
    </row>
    <row r="93" spans="2:7" ht="12">
      <c r="B93" s="8">
        <v>83</v>
      </c>
      <c r="C93" s="13" t="s">
        <v>189</v>
      </c>
      <c r="D93" s="13" t="s">
        <v>187</v>
      </c>
      <c r="E93" s="32">
        <v>0.0394</v>
      </c>
      <c r="F93" s="15">
        <v>809.9072</v>
      </c>
      <c r="G93" s="18">
        <f>E93*F93</f>
        <v>31.910343679999997</v>
      </c>
    </row>
    <row r="94" spans="2:7" ht="12">
      <c r="B94" s="8">
        <v>84</v>
      </c>
      <c r="C94" s="13" t="s">
        <v>190</v>
      </c>
      <c r="D94" s="13" t="s">
        <v>187</v>
      </c>
      <c r="E94" s="32">
        <v>0.31248</v>
      </c>
      <c r="F94" s="15">
        <v>947.104</v>
      </c>
      <c r="G94" s="18">
        <f>E94*F94</f>
        <v>295.95105792</v>
      </c>
    </row>
    <row r="95" spans="2:7" ht="12">
      <c r="B95" s="9" t="s">
        <v>79</v>
      </c>
      <c r="C95" s="16"/>
      <c r="D95" s="16"/>
      <c r="E95" s="16"/>
      <c r="F95" s="34"/>
      <c r="G95" s="19">
        <f>SUM(G91:G94)</f>
        <v>27396.608058368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:G1"/>
    <mergeCell ref="B4:G4"/>
    <mergeCell ref="B31:F31"/>
    <mergeCell ref="B32:G32"/>
    <mergeCell ref="B77:F77"/>
    <mergeCell ref="B78:G78"/>
    <mergeCell ref="B89:F89"/>
    <mergeCell ref="B90:G90"/>
    <mergeCell ref="B95:F95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ÐœÐšÐ”-Ñ€Ð°ÑÑ‡ÐµÑ‚. Ð¦ÐµÐ½Ñ‚Ñ€ Ð¼ÑƒÐ½Ð¸Ñ†Ð¸Ð¿Ð°Ð»ÑŒÐ½Ð¾Ð¹ ÑÐºÐ¾Ð½Ð¾Ð¼Ð¸ÐºÐ¸ Ð¸ Ð¿Ñ€Ð°Ð²Ð°</cp:lastModifiedBy>
  <dcterms:created xsi:type="dcterms:W3CDTF">2015-05-07T07:44:19Z</dcterms:created>
  <dcterms:modified xsi:type="dcterms:W3CDTF">2015-05-07T07:44:19Z</dcterms:modified>
  <cp:category>Test result file</cp:category>
  <cp:version/>
  <cp:contentType/>
  <cp:contentStatus/>
</cp:coreProperties>
</file>